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3"/>
  </bookViews>
  <sheets>
    <sheet sheetId="1" name="Instruções" state="visible" r:id="rId4"/>
    <sheet sheetId="2" name="Configurações" state="visible" r:id="rId5"/>
    <sheet sheetId="3" name="Feriados" state="visible" r:id="rId6"/>
    <sheet sheetId="4" name="Controle de ponto" state="visible" r:id="rId7"/>
    <sheet sheetId="5" name="Resumo" state="visible" r:id="rId8"/>
  </sheets>
  <calcPr calcId="171027" fullCalcOnLoad="1"/>
</workbook>
</file>

<file path=xl/sharedStrings.xml><?xml version="1.0" encoding="utf-8"?>
<sst xmlns="http://schemas.openxmlformats.org/spreadsheetml/2006/main" count="109" uniqueCount="68">
  <si>
    <t>Controle de ponto e férias</t>
  </si>
  <si>
    <t>Um controle de ponto para uma pessoa e um ano: horas, horas extras, férias e atestados, com os feriados.</t>
  </si>
  <si>
    <t>Como usar</t>
  </si>
  <si>
    <t>Na aba Configurações, informe seu nome, o ano, suas horas por dia e quantos dias de férias você tem direito.</t>
  </si>
  <si>
    <t>Na aba Controle de ponto, anote o horário de entrada e saída (por ex. 7:30 e 16:00) e o intervalo em minutos.</t>
  </si>
  <si>
    <t>Nos dias de ausência, escolha o motivo na lista: férias, meio dia de férias, atestado médico, consulta médica, folga de banco de horas, licença não remunerada ou viagem a trabalho.</t>
  </si>
  <si>
    <t>A aba Resumo mostra cada mês e quantos dias de férias ainda restam.</t>
  </si>
  <si>
    <t>As células amarelas são para você preencher.</t>
  </si>
  <si>
    <t>As células brancas se calculam sozinhas (estão protegidas para você não apagar uma fórmula sem querer — Revisão → Desproteger Planilha, sem senha).</t>
  </si>
  <si>
    <t>Dicas</t>
  </si>
  <si>
    <t>•  Os horários são digitados como horas:minutos, por ex. 8:15. Um turno da noite que passa da meia-noite é calculado corretamente.</t>
  </si>
  <si>
    <t>•  As linhas cinza são fins de semana; as laranja, feriados.</t>
  </si>
  <si>
    <t>•  Precisa dos feriados de outro país ou cidade? Altere a lista na aba Feriados.</t>
  </si>
  <si>
    <t>Planilha grátis da Planmero · planmero.com/pt/controle-de-ponto-excel/</t>
  </si>
  <si>
    <t>Configurações</t>
  </si>
  <si>
    <t>Os feriados estão na aba Feriados; altere a lista se precisar de outro país, estado ou cidade.</t>
  </si>
  <si>
    <t>Nome</t>
  </si>
  <si>
    <t/>
  </si>
  <si>
    <t>Ano</t>
  </si>
  <si>
    <t>Horas por dia útil</t>
  </si>
  <si>
    <t>Direito a férias (dias)</t>
  </si>
  <si>
    <t>Saldo de férias anterior (dias)</t>
  </si>
  <si>
    <t>Feriados</t>
  </si>
  <si>
    <t>Data</t>
  </si>
  <si>
    <t>Feriado</t>
  </si>
  <si>
    <t>Confraternização Universal</t>
  </si>
  <si>
    <t>Sexta-feira da Paixão</t>
  </si>
  <si>
    <t>Tiradentes</t>
  </si>
  <si>
    <t>Dia do Trabalho</t>
  </si>
  <si>
    <t>Independência do Brasil</t>
  </si>
  <si>
    <t>Nossa Senhora Aparecida</t>
  </si>
  <si>
    <t>Finados</t>
  </si>
  <si>
    <t>Proclamação da República</t>
  </si>
  <si>
    <t>Dia Nacional de Zumbi e da Consciência Negra</t>
  </si>
  <si>
    <t>Natal</t>
  </si>
  <si>
    <t>Controle de ponto</t>
  </si>
  <si>
    <t>Na aba Controle de ponto, anote o horário de entrada e saída (por ex. 7:30 e 16:00) e o intervalo em minutos. Nos dias de ausência, escolha o motivo na lista: férias, meio dia de férias, atestado médico, consulta médica, folga de banco de horas, licença não remunerada ou viagem a trabalho.</t>
  </si>
  <si>
    <t>Dia</t>
  </si>
  <si>
    <t>Tipo de dia</t>
  </si>
  <si>
    <t>Entrada</t>
  </si>
  <si>
    <t>Saída</t>
  </si>
  <si>
    <t>Intervalo (min)</t>
  </si>
  <si>
    <t>Ausência</t>
  </si>
  <si>
    <t>Trabalhadas (h)</t>
  </si>
  <si>
    <t>Previstas (h)</t>
  </si>
  <si>
    <t>Computadas (h)</t>
  </si>
  <si>
    <t>Horas extras (h)</t>
  </si>
  <si>
    <t>Observação</t>
  </si>
  <si>
    <t>Mês</t>
  </si>
  <si>
    <t>Resumo</t>
  </si>
  <si>
    <t>Dias úteis</t>
  </si>
  <si>
    <t>Férias (dias)</t>
  </si>
  <si>
    <t>Dias de atestado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</si>
  <si>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</si>
  <si>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</si>
  <si>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</si>
  <si>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</si>
  <si>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</si>
  <si>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</si>
  <si>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</si>
  <si>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</si>
  <si>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</si>
  <si>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</si>
  <si>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</si>
  <si>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</si>
  <si>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</si>
  <si>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Férias restantes</t>
  </si>
  <si>
    <t>Férias tiradas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</si>
</sst>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ddd"/>
    <numFmt numFmtId="166" formatCode="0.00;-0.00;–"/>
    <numFmt numFmtId="167" formatCode="+0.00;-0.00;–"/>
    <numFmt numFmtId="168" formatCode="0.0;-0.0;–"/>
    <numFmt numFmtId="169" formatCode="+0.0;-0.0;–"/>
    <numFmt numFmtId="170" formatCode="0;-0;–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0C1F2E"/>
      <sz val="11"/>
      <name val="Calibri"/>
    </font>
    <font>
      <b/>
      <color rgb="FF075985"/>
      <sz val="13"/>
      <name val="Calibri"/>
    </font>
    <font>
      <b/>
      <color rgb="FFFFFFFF"/>
      <name val="Calibri"/>
    </font>
    <font>
      <sz val="11"/>
      <name val="Calibri"/>
    </font>
    <font>
      <u/>
      <color rgb="FF075985"/>
      <sz val="10"/>
      <name val="Calibri"/>
    </font>
    <font>
      <b/>
      <color rgb="FFFFFFFF"/>
      <sz val="18"/>
      <name val="Calibri"/>
    </font>
    <font>
      <i/>
      <color rgb="FF0C1F2E"/>
      <sz val="10"/>
      <name val="Calibri"/>
    </font>
    <font>
      <b/>
      <color rgb="FF0C1F2E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0C1F2E"/>
      <sz val="10"/>
      <name val="Calibri"/>
    </font>
    <font>
      <b/>
      <color rgb="FF075985"/>
      <sz val="12"/>
      <name val="Calibri"/>
    </font>
    <font>
      <b/>
      <color rgb="FF075985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5985"/>
      </patternFill>
    </fill>
    <fill>
      <patternFill patternType="solid">
        <fgColor rgb="FFE3EFF7"/>
      </patternFill>
    </fill>
    <fill>
      <patternFill patternType="solid">
        <fgColor rgb="FFF97316"/>
      </patternFill>
    </fill>
    <fill>
      <patternFill patternType="solid">
        <fgColor rgb="FFFFF9E0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97316"/>
      </top>
      <bottom/>
      <diagonal/>
    </border>
    <border>
      <left style="thin">
        <color rgb="FF075985"/>
      </left>
      <right style="thin">
        <color rgb="FF075985"/>
      </right>
      <top style="thin">
        <color rgb="FF075985"/>
      </top>
      <bottom style="thin">
        <color rgb="FF075985"/>
      </bottom>
      <diagonal/>
    </border>
    <border>
      <left/>
      <right/>
      <top/>
      <bottom style="thin">
        <color rgb="FFF97316"/>
      </bottom>
      <diagonal/>
    </border>
    <border>
      <left style="thin">
        <color rgb="FFF97316"/>
      </left>
      <right style="thin">
        <color rgb="FFF97316"/>
      </right>
      <top style="thin">
        <color rgb="FFF97316"/>
      </top>
      <bottom style="thin">
        <color rgb="FFF9731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64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Protection="1">
      <protection locked="0"/>
    </xf>
    <xf numFmtId="14" fontId="12" fillId="0" borderId="2" xfId="0" applyNumberFormat="1" applyFont="1" applyBorder="1"/>
    <xf numFmtId="165" fontId="12" fillId="0" borderId="2" xfId="0" applyNumberFormat="1" applyFont="1" applyBorder="1"/>
    <xf numFmtId="0" fontId="12" fillId="0" borderId="2" xfId="0" applyFont="1" applyBorder="1"/>
    <xf numFmtId="20" fontId="10" fillId="5" borderId="1" xfId="0" applyNumberFormat="1" applyFont="1" applyFill="1" applyBorder="1" applyProtection="1">
      <protection locked="0"/>
    </xf>
    <xf numFmtId="166" fontId="12" fillId="0" borderId="2" xfId="0" applyNumberFormat="1" applyFont="1" applyBorder="1"/>
    <xf numFmtId="167" fontId="12" fillId="0" borderId="2" xfId="0" applyNumberFormat="1" applyFont="1" applyBorder="1"/>
    <xf numFmtId="1" fontId="12" fillId="0" borderId="2" xfId="0" applyNumberFormat="1" applyFont="1" applyBorder="1"/>
    <xf numFmtId="164" fontId="12" fillId="0" borderId="2" xfId="0" applyNumberFormat="1" applyFont="1" applyBorder="1"/>
    <xf numFmtId="168" fontId="12" fillId="0" borderId="2" xfId="0" applyNumberFormat="1" applyFont="1" applyBorder="1"/>
    <xf numFmtId="169" fontId="12" fillId="0" borderId="2" xfId="0" applyNumberFormat="1" applyFont="1" applyBorder="1"/>
    <xf numFmtId="170" fontId="12" fillId="0" borderId="2" xfId="0" applyNumberFormat="1" applyFont="1" applyBorder="1"/>
    <xf numFmtId="0" fontId="9" fillId="3" borderId="0" xfId="0" applyFont="1" applyFill="1" applyAlignment="1">
      <alignment vertical="center" wrapText="1"/>
    </xf>
    <xf numFmtId="1" fontId="9" fillId="3" borderId="2" xfId="0" applyNumberFormat="1" applyFont="1" applyFill="1" applyBorder="1"/>
    <xf numFmtId="164" fontId="9" fillId="3" borderId="2" xfId="0" applyNumberFormat="1" applyFont="1" applyFill="1" applyBorder="1"/>
    <xf numFmtId="168" fontId="9" fillId="3" borderId="2" xfId="0" applyNumberFormat="1" applyFont="1" applyFill="1" applyBorder="1"/>
    <xf numFmtId="169" fontId="9" fillId="3" borderId="2" xfId="0" applyNumberFormat="1" applyFont="1" applyFill="1" applyBorder="1"/>
    <xf numFmtId="170" fontId="9" fillId="3" borderId="2" xfId="0" applyNumberFormat="1" applyFont="1" applyFill="1" applyBorder="1"/>
    <xf numFmtId="0" fontId="13" fillId="0" borderId="5" xfId="0" applyFont="1" applyBorder="1"/>
    <xf numFmtId="0" fontId="0" fillId="0" borderId="5" xfId="0" applyBorder="1"/>
    <xf numFmtId="0" fontId="12" fillId="0" borderId="0" xfId="0" applyFont="1" applyAlignment="1">
      <alignment vertical="center" wrapText="1"/>
    </xf>
    <xf numFmtId="164" fontId="14" fillId="3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7">
    <dxf>
      <font>
        <color rgb="FF9A3412"/>
      </font>
      <fill>
        <patternFill patternType="solid">
          <bgColor rgb="FFFFEDD5"/>
        </patternFill>
      </fill>
    </dxf>
    <dxf>
      <font>
        <color rgb="FF64748B"/>
      </font>
      <fill>
        <patternFill patternType="solid">
          <bgColor rgb="FFF1F5F9"/>
        </patternFill>
      </fill>
    </dxf>
    <dxf>
      <fill>
        <patternFill patternType="solid">
          <bgColor rgb="FFE0F2FE"/>
        </patternFill>
      </fill>
    </dxf>
    <dxf>
      <font>
        <b/>
        <color rgb="FF15803D"/>
      </font>
    </dxf>
    <dxf>
      <font>
        <b/>
        <color rgb="FFDC2626"/>
      </font>
    </dxf>
    <dxf>
      <font>
        <b/>
        <color rgb="FF15803D"/>
      </font>
    </dxf>
    <dxf>
      <font>
        <b/>
        <color rgb="FFDC262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Horas previstas e computadas por mês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Previstas (h)</c:v>
          </c:tx>
          <c:spPr>
            <a:solidFill>
              <a:srgbClr val="7DD3FC"/>
            </a:solidFill>
          </c:spPr>
          <c:invertIfNegative val="0"/>
          <c:cat>
            <c:strRef>
              <c:f>'Resumo'!$A$5:$A$16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'Resumo'!$C$5:$C$16</c:f>
              <c:numCache>
                <c:formatCode>General</c:formatCode>
                <c:ptCount val="12"/>
                <c:pt idx="0">
                  <c:v>160</c:v>
                </c:pt>
                <c:pt idx="1">
                  <c:v>160</c:v>
                </c:pt>
                <c:pt idx="2">
                  <c:v>176</c:v>
                </c:pt>
                <c:pt idx="3">
                  <c:v>168</c:v>
                </c:pt>
                <c:pt idx="4">
                  <c:v>168</c:v>
                </c:pt>
                <c:pt idx="5">
                  <c:v>176</c:v>
                </c:pt>
                <c:pt idx="6">
                  <c:v>176</c:v>
                </c:pt>
                <c:pt idx="7">
                  <c:v>176</c:v>
                </c:pt>
                <c:pt idx="8">
                  <c:v>168</c:v>
                </c:pt>
                <c:pt idx="9">
                  <c:v>160</c:v>
                </c:pt>
                <c:pt idx="10">
                  <c:v>160</c:v>
                </c:pt>
                <c:pt idx="11">
                  <c:v>184</c:v>
                </c:pt>
              </c:numCache>
            </c:numRef>
          </c:val>
        </c:ser>
        <c:ser>
          <c:idx val="1"/>
          <c:order val="1"/>
          <c:tx>
            <c:v>Computadas (h)</c:v>
          </c:tx>
          <c:spPr>
            <a:solidFill>
              <a:srgbClr val="075985"/>
            </a:solidFill>
          </c:spPr>
          <c:invertIfNegative val="0"/>
          <c:cat>
            <c:strRef>
              <c:f>'Resumo'!$A$5:$A$16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'Resumo'!$E$5:$E$16</c:f>
              <c:numCache>
                <c:formatCode>General</c:formatCode>
                <c:ptCount val="12"/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8</xdr:col>
      <xdr:colOff>0</xdr:colOff>
      <xdr:row>45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pt/controle-de-ponto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36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B8"/>
  <sheetViews>
    <sheetView workbookViewId="0" showGridLines="0"/>
  </sheetViews>
  <sheetFormatPr defaultRowHeight="18" outlineLevelRow="0" outlineLevelCol="0" x14ac:dyDescent="55" defaultColWidth="12" customHeight="1"/>
  <cols>
    <col min="1" max="1" width="34" customWidth="1"/>
    <col min="2" max="2" width="26" customWidth="1"/>
  </cols>
  <sheetData>
    <row r="1" ht="34" customHeight="1" spans="1:2" x14ac:dyDescent="0.25">
      <c r="A1" s="9" t="s">
        <v>14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2027</v>
      </c>
    </row>
    <row r="6" spans="1:2" x14ac:dyDescent="0.25">
      <c r="A6" s="12" t="s">
        <v>19</v>
      </c>
      <c r="B6" s="15">
        <v>8</v>
      </c>
    </row>
    <row r="7" spans="1:2" x14ac:dyDescent="0.25">
      <c r="A7" s="12" t="s">
        <v>20</v>
      </c>
      <c r="B7" s="15">
        <v>20</v>
      </c>
    </row>
    <row r="8" spans="1:2" x14ac:dyDescent="0.25">
      <c r="A8" s="12" t="s">
        <v>21</v>
      </c>
      <c r="B8" s="15">
        <v>0</v>
      </c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8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4" customWidth="1"/>
    <col min="2" max="2" width="44" customWidth="1"/>
  </cols>
  <sheetData>
    <row r="1" ht="34" customHeight="1" spans="1:2" x14ac:dyDescent="0.25">
      <c r="A1" s="9" t="s">
        <v>22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6" t="s">
        <v>23</v>
      </c>
      <c r="B4" s="16" t="s">
        <v>24</v>
      </c>
    </row>
    <row r="5" spans="1:2" x14ac:dyDescent="0.25">
      <c r="A5" s="17">
        <v>46023</v>
      </c>
      <c r="B5" s="13" t="s">
        <v>25</v>
      </c>
    </row>
    <row r="6" spans="1:2" x14ac:dyDescent="0.25">
      <c r="A6" s="17">
        <v>46115</v>
      </c>
      <c r="B6" s="13" t="s">
        <v>26</v>
      </c>
    </row>
    <row r="7" spans="1:2" x14ac:dyDescent="0.25">
      <c r="A7" s="17">
        <v>46133</v>
      </c>
      <c r="B7" s="13" t="s">
        <v>27</v>
      </c>
    </row>
    <row r="8" spans="1:2" x14ac:dyDescent="0.25">
      <c r="A8" s="17">
        <v>46143</v>
      </c>
      <c r="B8" s="13" t="s">
        <v>28</v>
      </c>
    </row>
    <row r="9" spans="1:2" x14ac:dyDescent="0.25">
      <c r="A9" s="17">
        <v>46272</v>
      </c>
      <c r="B9" s="13" t="s">
        <v>29</v>
      </c>
    </row>
    <row r="10" spans="1:2" x14ac:dyDescent="0.25">
      <c r="A10" s="17">
        <v>46307</v>
      </c>
      <c r="B10" s="13" t="s">
        <v>30</v>
      </c>
    </row>
    <row r="11" spans="1:2" x14ac:dyDescent="0.25">
      <c r="A11" s="17">
        <v>46328</v>
      </c>
      <c r="B11" s="13" t="s">
        <v>31</v>
      </c>
    </row>
    <row r="12" spans="1:2" x14ac:dyDescent="0.25">
      <c r="A12" s="17">
        <v>46341</v>
      </c>
      <c r="B12" s="13" t="s">
        <v>32</v>
      </c>
    </row>
    <row r="13" spans="1:2" x14ac:dyDescent="0.25">
      <c r="A13" s="17">
        <v>46346</v>
      </c>
      <c r="B13" s="13" t="s">
        <v>33</v>
      </c>
    </row>
    <row r="14" spans="1:2" x14ac:dyDescent="0.25">
      <c r="A14" s="17">
        <v>46381</v>
      </c>
      <c r="B14" s="13" t="s">
        <v>34</v>
      </c>
    </row>
    <row r="15" spans="1:2" x14ac:dyDescent="0.25">
      <c r="A15" s="17">
        <v>46388</v>
      </c>
      <c r="B15" s="13" t="s">
        <v>25</v>
      </c>
    </row>
    <row r="16" spans="1:2" x14ac:dyDescent="0.25">
      <c r="A16" s="17">
        <v>46472</v>
      </c>
      <c r="B16" s="13" t="s">
        <v>26</v>
      </c>
    </row>
    <row r="17" spans="1:2" x14ac:dyDescent="0.25">
      <c r="A17" s="17">
        <v>46498</v>
      </c>
      <c r="B17" s="13" t="s">
        <v>27</v>
      </c>
    </row>
    <row r="18" spans="1:2" x14ac:dyDescent="0.25">
      <c r="A18" s="17">
        <v>46508</v>
      </c>
      <c r="B18" s="13" t="s">
        <v>28</v>
      </c>
    </row>
    <row r="19" spans="1:2" x14ac:dyDescent="0.25">
      <c r="A19" s="17">
        <v>46637</v>
      </c>
      <c r="B19" s="13" t="s">
        <v>29</v>
      </c>
    </row>
    <row r="20" spans="1:2" x14ac:dyDescent="0.25">
      <c r="A20" s="17">
        <v>46672</v>
      </c>
      <c r="B20" s="13" t="s">
        <v>30</v>
      </c>
    </row>
    <row r="21" spans="1:2" x14ac:dyDescent="0.25">
      <c r="A21" s="17">
        <v>46693</v>
      </c>
      <c r="B21" s="13" t="s">
        <v>31</v>
      </c>
    </row>
    <row r="22" spans="1:2" x14ac:dyDescent="0.25">
      <c r="A22" s="17">
        <v>46706</v>
      </c>
      <c r="B22" s="13" t="s">
        <v>32</v>
      </c>
    </row>
    <row r="23" spans="1:2" x14ac:dyDescent="0.25">
      <c r="A23" s="17">
        <v>46711</v>
      </c>
      <c r="B23" s="13" t="s">
        <v>33</v>
      </c>
    </row>
    <row r="24" spans="1:2" x14ac:dyDescent="0.25">
      <c r="A24" s="17">
        <v>46746</v>
      </c>
      <c r="B24" s="13" t="s">
        <v>34</v>
      </c>
    </row>
    <row r="25" spans="1:2" x14ac:dyDescent="0.25">
      <c r="A25" s="17">
        <v>46753</v>
      </c>
      <c r="B25" s="13" t="s">
        <v>25</v>
      </c>
    </row>
    <row r="26" spans="1:2" x14ac:dyDescent="0.25">
      <c r="A26" s="17">
        <v>46857</v>
      </c>
      <c r="B26" s="13" t="s">
        <v>26</v>
      </c>
    </row>
    <row r="27" spans="1:2" x14ac:dyDescent="0.25">
      <c r="A27" s="17">
        <v>46864</v>
      </c>
      <c r="B27" s="13" t="s">
        <v>27</v>
      </c>
    </row>
    <row r="28" spans="1:2" x14ac:dyDescent="0.25">
      <c r="A28" s="17">
        <v>46874</v>
      </c>
      <c r="B28" s="13" t="s">
        <v>28</v>
      </c>
    </row>
    <row r="29" spans="1:2" x14ac:dyDescent="0.25">
      <c r="A29" s="17">
        <v>47003</v>
      </c>
      <c r="B29" s="13" t="s">
        <v>29</v>
      </c>
    </row>
    <row r="30" spans="1:2" x14ac:dyDescent="0.25">
      <c r="A30" s="17">
        <v>47038</v>
      </c>
      <c r="B30" s="13" t="s">
        <v>30</v>
      </c>
    </row>
    <row r="31" spans="1:2" x14ac:dyDescent="0.25">
      <c r="A31" s="17">
        <v>47059</v>
      </c>
      <c r="B31" s="13" t="s">
        <v>31</v>
      </c>
    </row>
    <row r="32" spans="1:2" x14ac:dyDescent="0.25">
      <c r="A32" s="17">
        <v>47072</v>
      </c>
      <c r="B32" s="13" t="s">
        <v>32</v>
      </c>
    </row>
    <row r="33" spans="1:2" x14ac:dyDescent="0.25">
      <c r="A33" s="17">
        <v>47077</v>
      </c>
      <c r="B33" s="13" t="s">
        <v>33</v>
      </c>
    </row>
    <row r="34" spans="1:2" x14ac:dyDescent="0.25">
      <c r="A34" s="17">
        <v>47112</v>
      </c>
      <c r="B34" s="13" t="s">
        <v>34</v>
      </c>
    </row>
    <row r="35" spans="1:2" x14ac:dyDescent="0.25">
      <c r="A35" s="17">
        <v>47119</v>
      </c>
      <c r="B35" s="13" t="s">
        <v>25</v>
      </c>
    </row>
    <row r="36" spans="1:2" x14ac:dyDescent="0.25">
      <c r="A36" s="17">
        <v>47207</v>
      </c>
      <c r="B36" s="13" t="s">
        <v>26</v>
      </c>
    </row>
    <row r="37" spans="1:2" x14ac:dyDescent="0.25">
      <c r="A37" s="17">
        <v>47229</v>
      </c>
      <c r="B37" s="13" t="s">
        <v>27</v>
      </c>
    </row>
    <row r="38" spans="1:2" x14ac:dyDescent="0.25">
      <c r="A38" s="17">
        <v>47239</v>
      </c>
      <c r="B38" s="13" t="s">
        <v>28</v>
      </c>
    </row>
    <row r="39" spans="1:2" x14ac:dyDescent="0.25">
      <c r="A39" s="17">
        <v>47368</v>
      </c>
      <c r="B39" s="13" t="s">
        <v>29</v>
      </c>
    </row>
    <row r="40" spans="1:2" x14ac:dyDescent="0.25">
      <c r="A40" s="17">
        <v>47403</v>
      </c>
      <c r="B40" s="13" t="s">
        <v>30</v>
      </c>
    </row>
    <row r="41" spans="1:2" x14ac:dyDescent="0.25">
      <c r="A41" s="17">
        <v>47424</v>
      </c>
      <c r="B41" s="13" t="s">
        <v>31</v>
      </c>
    </row>
    <row r="42" spans="1:2" x14ac:dyDescent="0.25">
      <c r="A42" s="17">
        <v>47437</v>
      </c>
      <c r="B42" s="13" t="s">
        <v>32</v>
      </c>
    </row>
    <row r="43" spans="1:2" x14ac:dyDescent="0.25">
      <c r="A43" s="17">
        <v>47442</v>
      </c>
      <c r="B43" s="13" t="s">
        <v>33</v>
      </c>
    </row>
    <row r="44" spans="1:2" x14ac:dyDescent="0.25">
      <c r="A44" s="17">
        <v>47477</v>
      </c>
      <c r="B44" s="13" t="s">
        <v>34</v>
      </c>
    </row>
    <row r="45" spans="1:2" x14ac:dyDescent="0.25">
      <c r="A45" s="17"/>
      <c r="B45" s="13"/>
    </row>
    <row r="46" spans="1:2" x14ac:dyDescent="0.25">
      <c r="A46" s="17"/>
      <c r="B46" s="13"/>
    </row>
    <row r="47" spans="1:2" x14ac:dyDescent="0.25">
      <c r="A47" s="17"/>
      <c r="B47" s="13"/>
    </row>
    <row r="48" spans="1:2" x14ac:dyDescent="0.25">
      <c r="A48" s="17"/>
      <c r="B48" s="13"/>
    </row>
    <row r="49" spans="1:2" x14ac:dyDescent="0.25">
      <c r="A49" s="17"/>
      <c r="B49" s="13"/>
    </row>
    <row r="50" spans="1:2" x14ac:dyDescent="0.25">
      <c r="A50" s="17"/>
      <c r="B50" s="13"/>
    </row>
    <row r="51" spans="1:2" x14ac:dyDescent="0.25">
      <c r="A51" s="17"/>
      <c r="B51" s="13"/>
    </row>
    <row r="52" spans="1:2" x14ac:dyDescent="0.25">
      <c r="A52" s="17"/>
      <c r="B52" s="13"/>
    </row>
    <row r="53" spans="1:2" x14ac:dyDescent="0.25">
      <c r="A53" s="17"/>
      <c r="B53" s="13"/>
    </row>
    <row r="54" spans="1:2" x14ac:dyDescent="0.25">
      <c r="A54" s="17"/>
      <c r="B54" s="13"/>
    </row>
    <row r="55" spans="1:2" x14ac:dyDescent="0.25">
      <c r="A55" s="17"/>
      <c r="B55" s="13"/>
    </row>
    <row r="56" spans="1:2" x14ac:dyDescent="0.25">
      <c r="A56" s="17"/>
      <c r="B56" s="13"/>
    </row>
    <row r="57" spans="1:2" x14ac:dyDescent="0.25">
      <c r="A57" s="17"/>
      <c r="B57" s="13"/>
    </row>
    <row r="58" spans="1:2" x14ac:dyDescent="0.25">
      <c r="A58" s="17"/>
      <c r="B58" s="13"/>
    </row>
    <row r="59" spans="1:2" x14ac:dyDescent="0.25">
      <c r="A59" s="17"/>
      <c r="B59" s="13"/>
    </row>
    <row r="60" spans="1:2" x14ac:dyDescent="0.25">
      <c r="A60" s="17"/>
      <c r="B60" s="13"/>
    </row>
    <row r="61" spans="1:2" x14ac:dyDescent="0.25">
      <c r="A61" s="17"/>
      <c r="B61" s="13"/>
    </row>
    <row r="62" spans="1:2" x14ac:dyDescent="0.25">
      <c r="A62" s="17"/>
      <c r="B62" s="13"/>
    </row>
    <row r="63" spans="1:2" x14ac:dyDescent="0.25">
      <c r="A63" s="17"/>
      <c r="B63" s="13"/>
    </row>
    <row r="64" spans="1:2" x14ac:dyDescent="0.25">
      <c r="A64" s="17"/>
      <c r="B64" s="13"/>
    </row>
    <row r="65" spans="1:2" x14ac:dyDescent="0.25">
      <c r="A65" s="17"/>
      <c r="B65" s="13"/>
    </row>
    <row r="66" spans="1:2" x14ac:dyDescent="0.25">
      <c r="A66" s="17"/>
      <c r="B66" s="13"/>
    </row>
    <row r="67" spans="1:2" x14ac:dyDescent="0.25">
      <c r="A67" s="17"/>
      <c r="B67" s="13"/>
    </row>
    <row r="68" spans="1:2" x14ac:dyDescent="0.25">
      <c r="A68" s="17"/>
      <c r="B68" s="13"/>
    </row>
    <row r="69" spans="1:2" x14ac:dyDescent="0.25">
      <c r="A69" s="17"/>
      <c r="B69" s="13"/>
    </row>
    <row r="70" spans="1:2" x14ac:dyDescent="0.25">
      <c r="A70" s="17"/>
      <c r="B70" s="13"/>
    </row>
    <row r="71" spans="1:2" x14ac:dyDescent="0.25">
      <c r="A71" s="17"/>
      <c r="B71" s="13"/>
    </row>
    <row r="72" spans="1:2" x14ac:dyDescent="0.25">
      <c r="A72" s="17"/>
      <c r="B72" s="13"/>
    </row>
    <row r="73" spans="1:2" x14ac:dyDescent="0.25">
      <c r="A73" s="17"/>
      <c r="B73" s="13"/>
    </row>
    <row r="74" spans="1:2" x14ac:dyDescent="0.25">
      <c r="A74" s="17"/>
      <c r="B74" s="13"/>
    </row>
    <row r="75" spans="1:2" x14ac:dyDescent="0.25">
      <c r="A75" s="17"/>
      <c r="B75" s="13"/>
    </row>
    <row r="76" spans="1:2" x14ac:dyDescent="0.25">
      <c r="A76" s="17"/>
      <c r="B76" s="13"/>
    </row>
    <row r="77" spans="1:2" x14ac:dyDescent="0.25">
      <c r="A77" s="17"/>
      <c r="B77" s="13"/>
    </row>
    <row r="78" spans="1:2" x14ac:dyDescent="0.25">
      <c r="A78" s="17"/>
      <c r="B78" s="13"/>
    </row>
    <row r="79" spans="1:2" x14ac:dyDescent="0.25">
      <c r="A79" s="17"/>
      <c r="B79" s="13"/>
    </row>
    <row r="80" spans="1:2" x14ac:dyDescent="0.25">
      <c r="A80" s="17"/>
      <c r="B80" s="13"/>
    </row>
    <row r="81" spans="1:2" x14ac:dyDescent="0.25">
      <c r="A81" s="17"/>
      <c r="B81" s="13"/>
    </row>
    <row r="82" spans="1:2" x14ac:dyDescent="0.25">
      <c r="A82" s="17"/>
      <c r="B82" s="13"/>
    </row>
    <row r="83" spans="1:2" x14ac:dyDescent="0.25">
      <c r="A83" s="17"/>
      <c r="B83" s="13"/>
    </row>
    <row r="84" spans="1:2" x14ac:dyDescent="0.25">
      <c r="A84" s="17"/>
      <c r="B84" s="13"/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M370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12" customWidth="1"/>
    <col min="2" max="2" width="7" customWidth="1"/>
    <col min="3" max="3" width="15" customWidth="1"/>
    <col min="4" max="5" width="10" customWidth="1"/>
    <col min="6" max="6" width="11" customWidth="1"/>
    <col min="7" max="7" width="20" customWidth="1"/>
    <col min="8" max="8" width="13" customWidth="1"/>
    <col min="9" max="9" width="10" customWidth="1"/>
    <col min="10" max="10" width="13" customWidth="1"/>
    <col min="11" max="11" width="11" customWidth="1"/>
    <col min="12" max="12" width="28" customWidth="1"/>
    <col min="13" max="13" width="5" hidden="1" customWidth="1"/>
  </cols>
  <sheetData>
    <row r="1" ht="34" customHeight="1" spans="1:12" x14ac:dyDescent="0.25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6" t="s">
        <v>23</v>
      </c>
      <c r="B4" s="16" t="s">
        <v>37</v>
      </c>
      <c r="C4" s="16" t="s">
        <v>38</v>
      </c>
      <c r="D4" s="16" t="s">
        <v>39</v>
      </c>
      <c r="E4" s="16" t="s">
        <v>40</v>
      </c>
      <c r="F4" s="16" t="s">
        <v>41</v>
      </c>
      <c r="G4" s="16" t="s">
        <v>42</v>
      </c>
      <c r="H4" s="16" t="s">
        <v>43</v>
      </c>
      <c r="I4" s="16" t="s">
        <v>44</v>
      </c>
      <c r="J4" s="16" t="s">
        <v>45</v>
      </c>
      <c r="K4" s="16" t="s">
        <v>46</v>
      </c>
      <c r="L4" s="16" t="s">
        <v>47</v>
      </c>
      <c r="M4" s="16" t="s">
        <v>48</v>
      </c>
    </row>
    <row r="5" spans="1:13" x14ac:dyDescent="0.25">
      <c r="A5" s="18">
        <f>IF(YEAR(DATE('Configurações'!$B$5,1,1)+0)='Configurações'!$B$5,DATE('Configurações'!$B$5,1,1)+0,"")</f>
        <v>46388</v>
      </c>
      <c r="B5" s="19">
        <f>A5</f>
        <v>46388</v>
      </c>
      <c r="C5" s="20" t="str">
        <f>IF(A5="","",IF(COUNTIF('Feriados'!$A$5:$A$84,A5)&gt;0,"Feriado",IF(WEEKDAY(A5,2)&gt;5,"Fim de semana","Dia útil")))</f>
        <v>Feriado</v>
      </c>
      <c r="D5" s="21"/>
      <c r="E5" s="21"/>
      <c r="F5" s="14"/>
      <c r="G5" s="13"/>
      <c r="H5" s="22">
        <f>IF(AND(ISNUMBER(D5),ISNUMBER(E5)),ROUND(MOD(E5-D5,1)*24-N(F5)/60,2),0)</f>
        <v>0</v>
      </c>
      <c r="I5" s="22">
        <f>IF(C5="Dia útil",'Configurações'!$B$6,0)</f>
        <v>0</v>
      </c>
      <c r="J5" s="22">
        <f>H5+IF(OR(G5="Férias",G5="Atestado médico",G5="Consulta médica",G5="Folga de banco de horas",G5="Viagem a trabalho"),I5,IF(G5="Meio dia de férias",I5/2,0))</f>
        <v>0</v>
      </c>
      <c r="K5" s="23">
        <f>IF(OR(H5&gt;0,G5&lt;&gt;""),J5-I5,0)</f>
        <v>0</v>
      </c>
      <c r="L5" s="13"/>
      <c r="M5" s="20">
        <f>IF(A5="","",MONTH(A5))</f>
        <v>1</v>
      </c>
    </row>
    <row r="6" spans="1:13" x14ac:dyDescent="0.25">
      <c r="A6" s="18">
        <f>IF(YEAR(DATE('Configurações'!$B$5,1,1)+1)='Configurações'!$B$5,DATE('Configurações'!$B$5,1,1)+1,"")</f>
        <v>46389</v>
      </c>
      <c r="B6" s="19">
        <f>A6</f>
        <v>46389</v>
      </c>
      <c r="C6" s="20" t="str">
        <f>IF(A6="","",IF(COUNTIF('Feriados'!$A$5:$A$84,A6)&gt;0,"Feriado",IF(WEEKDAY(A6,2)&gt;5,"Fim de semana","Dia útil")))</f>
        <v>Fim de semana</v>
      </c>
      <c r="D6" s="21"/>
      <c r="E6" s="21"/>
      <c r="F6" s="14"/>
      <c r="G6" s="13"/>
      <c r="H6" s="22">
        <f>IF(AND(ISNUMBER(D6),ISNUMBER(E6)),ROUND(MOD(E6-D6,1)*24-N(F6)/60,2),0)</f>
        <v>0</v>
      </c>
      <c r="I6" s="22">
        <f>IF(C6="Dia útil",'Configurações'!$B$6,0)</f>
        <v>0</v>
      </c>
      <c r="J6" s="22">
        <f>H6+IF(OR(G6="Férias",G6="Atestado médico",G6="Consulta médica",G6="Folga de banco de horas",G6="Viagem a trabalho"),I6,IF(G6="Meio dia de férias",I6/2,0))</f>
        <v>0</v>
      </c>
      <c r="K6" s="23">
        <f>IF(OR(H6&gt;0,G6&lt;&gt;""),J6-I6,0)</f>
        <v>0</v>
      </c>
      <c r="L6" s="13"/>
      <c r="M6" s="20">
        <f>IF(A6="","",MONTH(A6))</f>
        <v>1</v>
      </c>
    </row>
    <row r="7" spans="1:13" x14ac:dyDescent="0.25">
      <c r="A7" s="18">
        <f>IF(YEAR(DATE('Configurações'!$B$5,1,1)+2)='Configurações'!$B$5,DATE('Configurações'!$B$5,1,1)+2,"")</f>
        <v>46390</v>
      </c>
      <c r="B7" s="19">
        <f>A7</f>
        <v>46390</v>
      </c>
      <c r="C7" s="20" t="str">
        <f>IF(A7="","",IF(COUNTIF('Feriados'!$A$5:$A$84,A7)&gt;0,"Feriado",IF(WEEKDAY(A7,2)&gt;5,"Fim de semana","Dia útil")))</f>
        <v>Fim de semana</v>
      </c>
      <c r="D7" s="21"/>
      <c r="E7" s="21"/>
      <c r="F7" s="14"/>
      <c r="G7" s="13"/>
      <c r="H7" s="22">
        <f>IF(AND(ISNUMBER(D7),ISNUMBER(E7)),ROUND(MOD(E7-D7,1)*24-N(F7)/60,2),0)</f>
        <v>0</v>
      </c>
      <c r="I7" s="22">
        <f>IF(C7="Dia útil",'Configurações'!$B$6,0)</f>
        <v>0</v>
      </c>
      <c r="J7" s="22">
        <f>H7+IF(OR(G7="Férias",G7="Atestado médico",G7="Consulta médica",G7="Folga de banco de horas",G7="Viagem a trabalho"),I7,IF(G7="Meio dia de férias",I7/2,0))</f>
        <v>0</v>
      </c>
      <c r="K7" s="23">
        <f>IF(OR(H7&gt;0,G7&lt;&gt;""),J7-I7,0)</f>
        <v>0</v>
      </c>
      <c r="L7" s="13"/>
      <c r="M7" s="20">
        <f>IF(A7="","",MONTH(A7))</f>
        <v>1</v>
      </c>
    </row>
    <row r="8" spans="1:13" x14ac:dyDescent="0.25">
      <c r="A8" s="18">
        <f>IF(YEAR(DATE('Configurações'!$B$5,1,1)+3)='Configurações'!$B$5,DATE('Configurações'!$B$5,1,1)+3,"")</f>
        <v>46391</v>
      </c>
      <c r="B8" s="19">
        <f>A8</f>
        <v>46391</v>
      </c>
      <c r="C8" s="20" t="str">
        <f>IF(A8="","",IF(COUNTIF('Feriados'!$A$5:$A$84,A8)&gt;0,"Feriado",IF(WEEKDAY(A8,2)&gt;5,"Fim de semana","Dia útil")))</f>
        <v>Dia útil</v>
      </c>
      <c r="D8" s="21"/>
      <c r="E8" s="21"/>
      <c r="F8" s="14"/>
      <c r="G8" s="13"/>
      <c r="H8" s="22">
        <f>IF(AND(ISNUMBER(D8),ISNUMBER(E8)),ROUND(MOD(E8-D8,1)*24-N(F8)/60,2),0)</f>
        <v>0</v>
      </c>
      <c r="I8" s="22">
        <f>IF(C8="Dia útil",'Configurações'!$B$6,0)</f>
        <v>8</v>
      </c>
      <c r="J8" s="22">
        <f>H8+IF(OR(G8="Férias",G8="Atestado médico",G8="Consulta médica",G8="Folga de banco de horas",G8="Viagem a trabalho"),I8,IF(G8="Meio dia de férias",I8/2,0))</f>
        <v>0</v>
      </c>
      <c r="K8" s="23">
        <f>IF(OR(H8&gt;0,G8&lt;&gt;""),J8-I8,0)</f>
        <v>0</v>
      </c>
      <c r="L8" s="13"/>
      <c r="M8" s="20">
        <f>IF(A8="","",MONTH(A8))</f>
        <v>1</v>
      </c>
    </row>
    <row r="9" spans="1:13" x14ac:dyDescent="0.25">
      <c r="A9" s="18">
        <f>IF(YEAR(DATE('Configurações'!$B$5,1,1)+4)='Configurações'!$B$5,DATE('Configurações'!$B$5,1,1)+4,"")</f>
        <v>46392</v>
      </c>
      <c r="B9" s="19">
        <f>A9</f>
        <v>46392</v>
      </c>
      <c r="C9" s="20" t="str">
        <f>IF(A9="","",IF(COUNTIF('Feriados'!$A$5:$A$84,A9)&gt;0,"Feriado",IF(WEEKDAY(A9,2)&gt;5,"Fim de semana","Dia útil")))</f>
        <v>Dia útil</v>
      </c>
      <c r="D9" s="21"/>
      <c r="E9" s="21"/>
      <c r="F9" s="14"/>
      <c r="G9" s="13"/>
      <c r="H9" s="22">
        <f>IF(AND(ISNUMBER(D9),ISNUMBER(E9)),ROUND(MOD(E9-D9,1)*24-N(F9)/60,2),0)</f>
        <v>0</v>
      </c>
      <c r="I9" s="22">
        <f>IF(C9="Dia útil",'Configurações'!$B$6,0)</f>
        <v>8</v>
      </c>
      <c r="J9" s="22">
        <f>H9+IF(OR(G9="Férias",G9="Atestado médico",G9="Consulta médica",G9="Folga de banco de horas",G9="Viagem a trabalho"),I9,IF(G9="Meio dia de férias",I9/2,0))</f>
        <v>0</v>
      </c>
      <c r="K9" s="23">
        <f>IF(OR(H9&gt;0,G9&lt;&gt;""),J9-I9,0)</f>
        <v>0</v>
      </c>
      <c r="L9" s="13"/>
      <c r="M9" s="20">
        <f>IF(A9="","",MONTH(A9))</f>
        <v>1</v>
      </c>
    </row>
    <row r="10" spans="1:13" x14ac:dyDescent="0.25">
      <c r="A10" s="18">
        <f>IF(YEAR(DATE('Configurações'!$B$5,1,1)+5)='Configurações'!$B$5,DATE('Configurações'!$B$5,1,1)+5,"")</f>
        <v>46393</v>
      </c>
      <c r="B10" s="19">
        <f>A10</f>
        <v>46393</v>
      </c>
      <c r="C10" s="20" t="str">
        <f>IF(A10="","",IF(COUNTIF('Feriados'!$A$5:$A$84,A10)&gt;0,"Feriado",IF(WEEKDAY(A10,2)&gt;5,"Fim de semana","Dia útil")))</f>
        <v>Dia útil</v>
      </c>
      <c r="D10" s="21"/>
      <c r="E10" s="21"/>
      <c r="F10" s="14"/>
      <c r="G10" s="13"/>
      <c r="H10" s="22">
        <f>IF(AND(ISNUMBER(D10),ISNUMBER(E10)),ROUND(MOD(E10-D10,1)*24-N(F10)/60,2),0)</f>
        <v>0</v>
      </c>
      <c r="I10" s="22">
        <f>IF(C10="Dia útil",'Configurações'!$B$6,0)</f>
        <v>8</v>
      </c>
      <c r="J10" s="22">
        <f>H10+IF(OR(G10="Férias",G10="Atestado médico",G10="Consulta médica",G10="Folga de banco de horas",G10="Viagem a trabalho"),I10,IF(G10="Meio dia de férias",I10/2,0))</f>
        <v>0</v>
      </c>
      <c r="K10" s="23">
        <f>IF(OR(H10&gt;0,G10&lt;&gt;""),J10-I10,0)</f>
        <v>0</v>
      </c>
      <c r="L10" s="13"/>
      <c r="M10" s="20">
        <f>IF(A10="","",MONTH(A10))</f>
        <v>1</v>
      </c>
    </row>
    <row r="11" spans="1:13" x14ac:dyDescent="0.25">
      <c r="A11" s="18">
        <f>IF(YEAR(DATE('Configurações'!$B$5,1,1)+6)='Configurações'!$B$5,DATE('Configurações'!$B$5,1,1)+6,"")</f>
        <v>46394</v>
      </c>
      <c r="B11" s="19">
        <f>A11</f>
        <v>46394</v>
      </c>
      <c r="C11" s="20" t="str">
        <f>IF(A11="","",IF(COUNTIF('Feriados'!$A$5:$A$84,A11)&gt;0,"Feriado",IF(WEEKDAY(A11,2)&gt;5,"Fim de semana","Dia útil")))</f>
        <v>Dia útil</v>
      </c>
      <c r="D11" s="21"/>
      <c r="E11" s="21"/>
      <c r="F11" s="14"/>
      <c r="G11" s="13"/>
      <c r="H11" s="22">
        <f>IF(AND(ISNUMBER(D11),ISNUMBER(E11)),ROUND(MOD(E11-D11,1)*24-N(F11)/60,2),0)</f>
        <v>0</v>
      </c>
      <c r="I11" s="22">
        <f>IF(C11="Dia útil",'Configurações'!$B$6,0)</f>
        <v>8</v>
      </c>
      <c r="J11" s="22">
        <f>H11+IF(OR(G11="Férias",G11="Atestado médico",G11="Consulta médica",G11="Folga de banco de horas",G11="Viagem a trabalho"),I11,IF(G11="Meio dia de férias",I11/2,0))</f>
        <v>0</v>
      </c>
      <c r="K11" s="23">
        <f>IF(OR(H11&gt;0,G11&lt;&gt;""),J11-I11,0)</f>
        <v>0</v>
      </c>
      <c r="L11" s="13"/>
      <c r="M11" s="20">
        <f>IF(A11="","",MONTH(A11))</f>
        <v>1</v>
      </c>
    </row>
    <row r="12" spans="1:13" x14ac:dyDescent="0.25">
      <c r="A12" s="18">
        <f>IF(YEAR(DATE('Configurações'!$B$5,1,1)+7)='Configurações'!$B$5,DATE('Configurações'!$B$5,1,1)+7,"")</f>
        <v>46395</v>
      </c>
      <c r="B12" s="19">
        <f>A12</f>
        <v>46395</v>
      </c>
      <c r="C12" s="20" t="str">
        <f>IF(A12="","",IF(COUNTIF('Feriados'!$A$5:$A$84,A12)&gt;0,"Feriado",IF(WEEKDAY(A12,2)&gt;5,"Fim de semana","Dia útil")))</f>
        <v>Dia útil</v>
      </c>
      <c r="D12" s="21"/>
      <c r="E12" s="21"/>
      <c r="F12" s="14"/>
      <c r="G12" s="13"/>
      <c r="H12" s="22">
        <f>IF(AND(ISNUMBER(D12),ISNUMBER(E12)),ROUND(MOD(E12-D12,1)*24-N(F12)/60,2),0)</f>
        <v>0</v>
      </c>
      <c r="I12" s="22">
        <f>IF(C12="Dia útil",'Configurações'!$B$6,0)</f>
        <v>8</v>
      </c>
      <c r="J12" s="22">
        <f>H12+IF(OR(G12="Férias",G12="Atestado médico",G12="Consulta médica",G12="Folga de banco de horas",G12="Viagem a trabalho"),I12,IF(G12="Meio dia de férias",I12/2,0))</f>
        <v>0</v>
      </c>
      <c r="K12" s="23">
        <f>IF(OR(H12&gt;0,G12&lt;&gt;""),J12-I12,0)</f>
        <v>0</v>
      </c>
      <c r="L12" s="13"/>
      <c r="M12" s="20">
        <f>IF(A12="","",MONTH(A12))</f>
        <v>1</v>
      </c>
    </row>
    <row r="13" spans="1:13" x14ac:dyDescent="0.25">
      <c r="A13" s="18">
        <f>IF(YEAR(DATE('Configurações'!$B$5,1,1)+8)='Configurações'!$B$5,DATE('Configurações'!$B$5,1,1)+8,"")</f>
        <v>46396</v>
      </c>
      <c r="B13" s="19">
        <f>A13</f>
        <v>46396</v>
      </c>
      <c r="C13" s="20" t="str">
        <f>IF(A13="","",IF(COUNTIF('Feriados'!$A$5:$A$84,A13)&gt;0,"Feriado",IF(WEEKDAY(A13,2)&gt;5,"Fim de semana","Dia útil")))</f>
        <v>Fim de semana</v>
      </c>
      <c r="D13" s="21"/>
      <c r="E13" s="21"/>
      <c r="F13" s="14"/>
      <c r="G13" s="13"/>
      <c r="H13" s="22">
        <f>IF(AND(ISNUMBER(D13),ISNUMBER(E13)),ROUND(MOD(E13-D13,1)*24-N(F13)/60,2),0)</f>
        <v>0</v>
      </c>
      <c r="I13" s="22">
        <f>IF(C13="Dia útil",'Configurações'!$B$6,0)</f>
        <v>0</v>
      </c>
      <c r="J13" s="22">
        <f>H13+IF(OR(G13="Férias",G13="Atestado médico",G13="Consulta médica",G13="Folga de banco de horas",G13="Viagem a trabalho"),I13,IF(G13="Meio dia de férias",I13/2,0))</f>
        <v>0</v>
      </c>
      <c r="K13" s="23">
        <f>IF(OR(H13&gt;0,G13&lt;&gt;""),J13-I13,0)</f>
        <v>0</v>
      </c>
      <c r="L13" s="13"/>
      <c r="M13" s="20">
        <f>IF(A13="","",MONTH(A13))</f>
        <v>1</v>
      </c>
    </row>
    <row r="14" spans="1:13" x14ac:dyDescent="0.25">
      <c r="A14" s="18">
        <f>IF(YEAR(DATE('Configurações'!$B$5,1,1)+9)='Configurações'!$B$5,DATE('Configurações'!$B$5,1,1)+9,"")</f>
        <v>46397</v>
      </c>
      <c r="B14" s="19">
        <f>A14</f>
        <v>46397</v>
      </c>
      <c r="C14" s="20" t="str">
        <f>IF(A14="","",IF(COUNTIF('Feriados'!$A$5:$A$84,A14)&gt;0,"Feriado",IF(WEEKDAY(A14,2)&gt;5,"Fim de semana","Dia útil")))</f>
        <v>Fim de semana</v>
      </c>
      <c r="D14" s="21"/>
      <c r="E14" s="21"/>
      <c r="F14" s="14"/>
      <c r="G14" s="13"/>
      <c r="H14" s="22">
        <f>IF(AND(ISNUMBER(D14),ISNUMBER(E14)),ROUND(MOD(E14-D14,1)*24-N(F14)/60,2),0)</f>
        <v>0</v>
      </c>
      <c r="I14" s="22">
        <f>IF(C14="Dia útil",'Configurações'!$B$6,0)</f>
        <v>0</v>
      </c>
      <c r="J14" s="22">
        <f>H14+IF(OR(G14="Férias",G14="Atestado médico",G14="Consulta médica",G14="Folga de banco de horas",G14="Viagem a trabalho"),I14,IF(G14="Meio dia de férias",I14/2,0))</f>
        <v>0</v>
      </c>
      <c r="K14" s="23">
        <f>IF(OR(H14&gt;0,G14&lt;&gt;""),J14-I14,0)</f>
        <v>0</v>
      </c>
      <c r="L14" s="13"/>
      <c r="M14" s="20">
        <f>IF(A14="","",MONTH(A14))</f>
        <v>1</v>
      </c>
    </row>
    <row r="15" spans="1:13" x14ac:dyDescent="0.25">
      <c r="A15" s="18">
        <f>IF(YEAR(DATE('Configurações'!$B$5,1,1)+10)='Configurações'!$B$5,DATE('Configurações'!$B$5,1,1)+10,"")</f>
        <v>46398</v>
      </c>
      <c r="B15" s="19">
        <f>A15</f>
        <v>46398</v>
      </c>
      <c r="C15" s="20" t="str">
        <f>IF(A15="","",IF(COUNTIF('Feriados'!$A$5:$A$84,A15)&gt;0,"Feriado",IF(WEEKDAY(A15,2)&gt;5,"Fim de semana","Dia útil")))</f>
        <v>Dia útil</v>
      </c>
      <c r="D15" s="21"/>
      <c r="E15" s="21"/>
      <c r="F15" s="14"/>
      <c r="G15" s="13"/>
      <c r="H15" s="22">
        <f>IF(AND(ISNUMBER(D15),ISNUMBER(E15)),ROUND(MOD(E15-D15,1)*24-N(F15)/60,2),0)</f>
        <v>0</v>
      </c>
      <c r="I15" s="22">
        <f>IF(C15="Dia útil",'Configurações'!$B$6,0)</f>
        <v>8</v>
      </c>
      <c r="J15" s="22">
        <f>H15+IF(OR(G15="Férias",G15="Atestado médico",G15="Consulta médica",G15="Folga de banco de horas",G15="Viagem a trabalho"),I15,IF(G15="Meio dia de férias",I15/2,0))</f>
        <v>0</v>
      </c>
      <c r="K15" s="23">
        <f>IF(OR(H15&gt;0,G15&lt;&gt;""),J15-I15,0)</f>
        <v>0</v>
      </c>
      <c r="L15" s="13"/>
      <c r="M15" s="20">
        <f>IF(A15="","",MONTH(A15))</f>
        <v>1</v>
      </c>
    </row>
    <row r="16" spans="1:13" x14ac:dyDescent="0.25">
      <c r="A16" s="18">
        <f>IF(YEAR(DATE('Configurações'!$B$5,1,1)+11)='Configurações'!$B$5,DATE('Configurações'!$B$5,1,1)+11,"")</f>
        <v>46399</v>
      </c>
      <c r="B16" s="19">
        <f>A16</f>
        <v>46399</v>
      </c>
      <c r="C16" s="20" t="str">
        <f>IF(A16="","",IF(COUNTIF('Feriados'!$A$5:$A$84,A16)&gt;0,"Feriado",IF(WEEKDAY(A16,2)&gt;5,"Fim de semana","Dia útil")))</f>
        <v>Dia útil</v>
      </c>
      <c r="D16" s="21"/>
      <c r="E16" s="21"/>
      <c r="F16" s="14"/>
      <c r="G16" s="13"/>
      <c r="H16" s="22">
        <f>IF(AND(ISNUMBER(D16),ISNUMBER(E16)),ROUND(MOD(E16-D16,1)*24-N(F16)/60,2),0)</f>
        <v>0</v>
      </c>
      <c r="I16" s="22">
        <f>IF(C16="Dia útil",'Configurações'!$B$6,0)</f>
        <v>8</v>
      </c>
      <c r="J16" s="22">
        <f>H16+IF(OR(G16="Férias",G16="Atestado médico",G16="Consulta médica",G16="Folga de banco de horas",G16="Viagem a trabalho"),I16,IF(G16="Meio dia de férias",I16/2,0))</f>
        <v>0</v>
      </c>
      <c r="K16" s="23">
        <f>IF(OR(H16&gt;0,G16&lt;&gt;""),J16-I16,0)</f>
        <v>0</v>
      </c>
      <c r="L16" s="13"/>
      <c r="M16" s="20">
        <f>IF(A16="","",MONTH(A16))</f>
        <v>1</v>
      </c>
    </row>
    <row r="17" spans="1:13" x14ac:dyDescent="0.25">
      <c r="A17" s="18">
        <f>IF(YEAR(DATE('Configurações'!$B$5,1,1)+12)='Configurações'!$B$5,DATE('Configurações'!$B$5,1,1)+12,"")</f>
        <v>46400</v>
      </c>
      <c r="B17" s="19">
        <f>A17</f>
        <v>46400</v>
      </c>
      <c r="C17" s="20" t="str">
        <f>IF(A17="","",IF(COUNTIF('Feriados'!$A$5:$A$84,A17)&gt;0,"Feriado",IF(WEEKDAY(A17,2)&gt;5,"Fim de semana","Dia útil")))</f>
        <v>Dia útil</v>
      </c>
      <c r="D17" s="21"/>
      <c r="E17" s="21"/>
      <c r="F17" s="14"/>
      <c r="G17" s="13"/>
      <c r="H17" s="22">
        <f>IF(AND(ISNUMBER(D17),ISNUMBER(E17)),ROUND(MOD(E17-D17,1)*24-N(F17)/60,2),0)</f>
        <v>0</v>
      </c>
      <c r="I17" s="22">
        <f>IF(C17="Dia útil",'Configurações'!$B$6,0)</f>
        <v>8</v>
      </c>
      <c r="J17" s="22">
        <f>H17+IF(OR(G17="Férias",G17="Atestado médico",G17="Consulta médica",G17="Folga de banco de horas",G17="Viagem a trabalho"),I17,IF(G17="Meio dia de férias",I17/2,0))</f>
        <v>0</v>
      </c>
      <c r="K17" s="23">
        <f>IF(OR(H17&gt;0,G17&lt;&gt;""),J17-I17,0)</f>
        <v>0</v>
      </c>
      <c r="L17" s="13"/>
      <c r="M17" s="20">
        <f>IF(A17="","",MONTH(A17))</f>
        <v>1</v>
      </c>
    </row>
    <row r="18" spans="1:13" x14ac:dyDescent="0.25">
      <c r="A18" s="18">
        <f>IF(YEAR(DATE('Configurações'!$B$5,1,1)+13)='Configurações'!$B$5,DATE('Configurações'!$B$5,1,1)+13,"")</f>
        <v>46401</v>
      </c>
      <c r="B18" s="19">
        <f>A18</f>
        <v>46401</v>
      </c>
      <c r="C18" s="20" t="str">
        <f>IF(A18="","",IF(COUNTIF('Feriados'!$A$5:$A$84,A18)&gt;0,"Feriado",IF(WEEKDAY(A18,2)&gt;5,"Fim de semana","Dia útil")))</f>
        <v>Dia útil</v>
      </c>
      <c r="D18" s="21"/>
      <c r="E18" s="21"/>
      <c r="F18" s="14"/>
      <c r="G18" s="13"/>
      <c r="H18" s="22">
        <f>IF(AND(ISNUMBER(D18),ISNUMBER(E18)),ROUND(MOD(E18-D18,1)*24-N(F18)/60,2),0)</f>
        <v>0</v>
      </c>
      <c r="I18" s="22">
        <f>IF(C18="Dia útil",'Configurações'!$B$6,0)</f>
        <v>8</v>
      </c>
      <c r="J18" s="22">
        <f>H18+IF(OR(G18="Férias",G18="Atestado médico",G18="Consulta médica",G18="Folga de banco de horas",G18="Viagem a trabalho"),I18,IF(G18="Meio dia de férias",I18/2,0))</f>
        <v>0</v>
      </c>
      <c r="K18" s="23">
        <f>IF(OR(H18&gt;0,G18&lt;&gt;""),J18-I18,0)</f>
        <v>0</v>
      </c>
      <c r="L18" s="13"/>
      <c r="M18" s="20">
        <f>IF(A18="","",MONTH(A18))</f>
        <v>1</v>
      </c>
    </row>
    <row r="19" spans="1:13" x14ac:dyDescent="0.25">
      <c r="A19" s="18">
        <f>IF(YEAR(DATE('Configurações'!$B$5,1,1)+14)='Configurações'!$B$5,DATE('Configurações'!$B$5,1,1)+14,"")</f>
        <v>46402</v>
      </c>
      <c r="B19" s="19">
        <f>A19</f>
        <v>46402</v>
      </c>
      <c r="C19" s="20" t="str">
        <f>IF(A19="","",IF(COUNTIF('Feriados'!$A$5:$A$84,A19)&gt;0,"Feriado",IF(WEEKDAY(A19,2)&gt;5,"Fim de semana","Dia útil")))</f>
        <v>Dia útil</v>
      </c>
      <c r="D19" s="21"/>
      <c r="E19" s="21"/>
      <c r="F19" s="14"/>
      <c r="G19" s="13"/>
      <c r="H19" s="22">
        <f>IF(AND(ISNUMBER(D19),ISNUMBER(E19)),ROUND(MOD(E19-D19,1)*24-N(F19)/60,2),0)</f>
        <v>0</v>
      </c>
      <c r="I19" s="22">
        <f>IF(C19="Dia útil",'Configurações'!$B$6,0)</f>
        <v>8</v>
      </c>
      <c r="J19" s="22">
        <f>H19+IF(OR(G19="Férias",G19="Atestado médico",G19="Consulta médica",G19="Folga de banco de horas",G19="Viagem a trabalho"),I19,IF(G19="Meio dia de férias",I19/2,0))</f>
        <v>0</v>
      </c>
      <c r="K19" s="23">
        <f>IF(OR(H19&gt;0,G19&lt;&gt;""),J19-I19,0)</f>
        <v>0</v>
      </c>
      <c r="L19" s="13"/>
      <c r="M19" s="20">
        <f>IF(A19="","",MONTH(A19))</f>
        <v>1</v>
      </c>
    </row>
    <row r="20" spans="1:13" x14ac:dyDescent="0.25">
      <c r="A20" s="18">
        <f>IF(YEAR(DATE('Configurações'!$B$5,1,1)+15)='Configurações'!$B$5,DATE('Configurações'!$B$5,1,1)+15,"")</f>
        <v>46403</v>
      </c>
      <c r="B20" s="19">
        <f>A20</f>
        <v>46403</v>
      </c>
      <c r="C20" s="20" t="str">
        <f>IF(A20="","",IF(COUNTIF('Feriados'!$A$5:$A$84,A20)&gt;0,"Feriado",IF(WEEKDAY(A20,2)&gt;5,"Fim de semana","Dia útil")))</f>
        <v>Fim de semana</v>
      </c>
      <c r="D20" s="21"/>
      <c r="E20" s="21"/>
      <c r="F20" s="14"/>
      <c r="G20" s="13"/>
      <c r="H20" s="22">
        <f>IF(AND(ISNUMBER(D20),ISNUMBER(E20)),ROUND(MOD(E20-D20,1)*24-N(F20)/60,2),0)</f>
        <v>0</v>
      </c>
      <c r="I20" s="22">
        <f>IF(C20="Dia útil",'Configurações'!$B$6,0)</f>
        <v>0</v>
      </c>
      <c r="J20" s="22">
        <f>H20+IF(OR(G20="Férias",G20="Atestado médico",G20="Consulta médica",G20="Folga de banco de horas",G20="Viagem a trabalho"),I20,IF(G20="Meio dia de férias",I20/2,0))</f>
        <v>0</v>
      </c>
      <c r="K20" s="23">
        <f>IF(OR(H20&gt;0,G20&lt;&gt;""),J20-I20,0)</f>
        <v>0</v>
      </c>
      <c r="L20" s="13"/>
      <c r="M20" s="20">
        <f>IF(A20="","",MONTH(A20))</f>
        <v>1</v>
      </c>
    </row>
    <row r="21" spans="1:13" x14ac:dyDescent="0.25">
      <c r="A21" s="18">
        <f>IF(YEAR(DATE('Configurações'!$B$5,1,1)+16)='Configurações'!$B$5,DATE('Configurações'!$B$5,1,1)+16,"")</f>
        <v>46404</v>
      </c>
      <c r="B21" s="19">
        <f>A21</f>
        <v>46404</v>
      </c>
      <c r="C21" s="20" t="str">
        <f>IF(A21="","",IF(COUNTIF('Feriados'!$A$5:$A$84,A21)&gt;0,"Feriado",IF(WEEKDAY(A21,2)&gt;5,"Fim de semana","Dia útil")))</f>
        <v>Fim de semana</v>
      </c>
      <c r="D21" s="21"/>
      <c r="E21" s="21"/>
      <c r="F21" s="14"/>
      <c r="G21" s="13"/>
      <c r="H21" s="22">
        <f>IF(AND(ISNUMBER(D21),ISNUMBER(E21)),ROUND(MOD(E21-D21,1)*24-N(F21)/60,2),0)</f>
        <v>0</v>
      </c>
      <c r="I21" s="22">
        <f>IF(C21="Dia útil",'Configurações'!$B$6,0)</f>
        <v>0</v>
      </c>
      <c r="J21" s="22">
        <f>H21+IF(OR(G21="Férias",G21="Atestado médico",G21="Consulta médica",G21="Folga de banco de horas",G21="Viagem a trabalho"),I21,IF(G21="Meio dia de férias",I21/2,0))</f>
        <v>0</v>
      </c>
      <c r="K21" s="23">
        <f>IF(OR(H21&gt;0,G21&lt;&gt;""),J21-I21,0)</f>
        <v>0</v>
      </c>
      <c r="L21" s="13"/>
      <c r="M21" s="20">
        <f>IF(A21="","",MONTH(A21))</f>
        <v>1</v>
      </c>
    </row>
    <row r="22" spans="1:13" x14ac:dyDescent="0.25">
      <c r="A22" s="18">
        <f>IF(YEAR(DATE('Configurações'!$B$5,1,1)+17)='Configurações'!$B$5,DATE('Configurações'!$B$5,1,1)+17,"")</f>
        <v>46405</v>
      </c>
      <c r="B22" s="19">
        <f>A22</f>
        <v>46405</v>
      </c>
      <c r="C22" s="20" t="str">
        <f>IF(A22="","",IF(COUNTIF('Feriados'!$A$5:$A$84,A22)&gt;0,"Feriado",IF(WEEKDAY(A22,2)&gt;5,"Fim de semana","Dia útil")))</f>
        <v>Dia útil</v>
      </c>
      <c r="D22" s="21"/>
      <c r="E22" s="21"/>
      <c r="F22" s="14"/>
      <c r="G22" s="13"/>
      <c r="H22" s="22">
        <f>IF(AND(ISNUMBER(D22),ISNUMBER(E22)),ROUND(MOD(E22-D22,1)*24-N(F22)/60,2),0)</f>
        <v>0</v>
      </c>
      <c r="I22" s="22">
        <f>IF(C22="Dia útil",'Configurações'!$B$6,0)</f>
        <v>8</v>
      </c>
      <c r="J22" s="22">
        <f>H22+IF(OR(G22="Férias",G22="Atestado médico",G22="Consulta médica",G22="Folga de banco de horas",G22="Viagem a trabalho"),I22,IF(G22="Meio dia de férias",I22/2,0))</f>
        <v>0</v>
      </c>
      <c r="K22" s="23">
        <f>IF(OR(H22&gt;0,G22&lt;&gt;""),J22-I22,0)</f>
        <v>0</v>
      </c>
      <c r="L22" s="13"/>
      <c r="M22" s="20">
        <f>IF(A22="","",MONTH(A22))</f>
        <v>1</v>
      </c>
    </row>
    <row r="23" spans="1:13" x14ac:dyDescent="0.25">
      <c r="A23" s="18">
        <f>IF(YEAR(DATE('Configurações'!$B$5,1,1)+18)='Configurações'!$B$5,DATE('Configurações'!$B$5,1,1)+18,"")</f>
        <v>46406</v>
      </c>
      <c r="B23" s="19">
        <f>A23</f>
        <v>46406</v>
      </c>
      <c r="C23" s="20" t="str">
        <f>IF(A23="","",IF(COUNTIF('Feriados'!$A$5:$A$84,A23)&gt;0,"Feriado",IF(WEEKDAY(A23,2)&gt;5,"Fim de semana","Dia útil")))</f>
        <v>Dia útil</v>
      </c>
      <c r="D23" s="21"/>
      <c r="E23" s="21"/>
      <c r="F23" s="14"/>
      <c r="G23" s="13"/>
      <c r="H23" s="22">
        <f>IF(AND(ISNUMBER(D23),ISNUMBER(E23)),ROUND(MOD(E23-D23,1)*24-N(F23)/60,2),0)</f>
        <v>0</v>
      </c>
      <c r="I23" s="22">
        <f>IF(C23="Dia útil",'Configurações'!$B$6,0)</f>
        <v>8</v>
      </c>
      <c r="J23" s="22">
        <f>H23+IF(OR(G23="Férias",G23="Atestado médico",G23="Consulta médica",G23="Folga de banco de horas",G23="Viagem a trabalho"),I23,IF(G23="Meio dia de férias",I23/2,0))</f>
        <v>0</v>
      </c>
      <c r="K23" s="23">
        <f>IF(OR(H23&gt;0,G23&lt;&gt;""),J23-I23,0)</f>
        <v>0</v>
      </c>
      <c r="L23" s="13"/>
      <c r="M23" s="20">
        <f>IF(A23="","",MONTH(A23))</f>
        <v>1</v>
      </c>
    </row>
    <row r="24" spans="1:13" x14ac:dyDescent="0.25">
      <c r="A24" s="18">
        <f>IF(YEAR(DATE('Configurações'!$B$5,1,1)+19)='Configurações'!$B$5,DATE('Configurações'!$B$5,1,1)+19,"")</f>
        <v>46407</v>
      </c>
      <c r="B24" s="19">
        <f>A24</f>
        <v>46407</v>
      </c>
      <c r="C24" s="20" t="str">
        <f>IF(A24="","",IF(COUNTIF('Feriados'!$A$5:$A$84,A24)&gt;0,"Feriado",IF(WEEKDAY(A24,2)&gt;5,"Fim de semana","Dia útil")))</f>
        <v>Dia útil</v>
      </c>
      <c r="D24" s="21"/>
      <c r="E24" s="21"/>
      <c r="F24" s="14"/>
      <c r="G24" s="13"/>
      <c r="H24" s="22">
        <f>IF(AND(ISNUMBER(D24),ISNUMBER(E24)),ROUND(MOD(E24-D24,1)*24-N(F24)/60,2),0)</f>
        <v>0</v>
      </c>
      <c r="I24" s="22">
        <f>IF(C24="Dia útil",'Configurações'!$B$6,0)</f>
        <v>8</v>
      </c>
      <c r="J24" s="22">
        <f>H24+IF(OR(G24="Férias",G24="Atestado médico",G24="Consulta médica",G24="Folga de banco de horas",G24="Viagem a trabalho"),I24,IF(G24="Meio dia de férias",I24/2,0))</f>
        <v>0</v>
      </c>
      <c r="K24" s="23">
        <f>IF(OR(H24&gt;0,G24&lt;&gt;""),J24-I24,0)</f>
        <v>0</v>
      </c>
      <c r="L24" s="13"/>
      <c r="M24" s="20">
        <f>IF(A24="","",MONTH(A24))</f>
        <v>1</v>
      </c>
    </row>
    <row r="25" spans="1:13" x14ac:dyDescent="0.25">
      <c r="A25" s="18">
        <f>IF(YEAR(DATE('Configurações'!$B$5,1,1)+20)='Configurações'!$B$5,DATE('Configurações'!$B$5,1,1)+20,"")</f>
        <v>46408</v>
      </c>
      <c r="B25" s="19">
        <f>A25</f>
        <v>46408</v>
      </c>
      <c r="C25" s="20" t="str">
        <f>IF(A25="","",IF(COUNTIF('Feriados'!$A$5:$A$84,A25)&gt;0,"Feriado",IF(WEEKDAY(A25,2)&gt;5,"Fim de semana","Dia útil")))</f>
        <v>Dia útil</v>
      </c>
      <c r="D25" s="21"/>
      <c r="E25" s="21"/>
      <c r="F25" s="14"/>
      <c r="G25" s="13"/>
      <c r="H25" s="22">
        <f>IF(AND(ISNUMBER(D25),ISNUMBER(E25)),ROUND(MOD(E25-D25,1)*24-N(F25)/60,2),0)</f>
        <v>0</v>
      </c>
      <c r="I25" s="22">
        <f>IF(C25="Dia útil",'Configurações'!$B$6,0)</f>
        <v>8</v>
      </c>
      <c r="J25" s="22">
        <f>H25+IF(OR(G25="Férias",G25="Atestado médico",G25="Consulta médica",G25="Folga de banco de horas",G25="Viagem a trabalho"),I25,IF(G25="Meio dia de férias",I25/2,0))</f>
        <v>0</v>
      </c>
      <c r="K25" s="23">
        <f>IF(OR(H25&gt;0,G25&lt;&gt;""),J25-I25,0)</f>
        <v>0</v>
      </c>
      <c r="L25" s="13"/>
      <c r="M25" s="20">
        <f>IF(A25="","",MONTH(A25))</f>
        <v>1</v>
      </c>
    </row>
    <row r="26" spans="1:13" x14ac:dyDescent="0.25">
      <c r="A26" s="18">
        <f>IF(YEAR(DATE('Configurações'!$B$5,1,1)+21)='Configurações'!$B$5,DATE('Configurações'!$B$5,1,1)+21,"")</f>
        <v>46409</v>
      </c>
      <c r="B26" s="19">
        <f>A26</f>
        <v>46409</v>
      </c>
      <c r="C26" s="20" t="str">
        <f>IF(A26="","",IF(COUNTIF('Feriados'!$A$5:$A$84,A26)&gt;0,"Feriado",IF(WEEKDAY(A26,2)&gt;5,"Fim de semana","Dia útil")))</f>
        <v>Dia útil</v>
      </c>
      <c r="D26" s="21"/>
      <c r="E26" s="21"/>
      <c r="F26" s="14"/>
      <c r="G26" s="13"/>
      <c r="H26" s="22">
        <f>IF(AND(ISNUMBER(D26),ISNUMBER(E26)),ROUND(MOD(E26-D26,1)*24-N(F26)/60,2),0)</f>
        <v>0</v>
      </c>
      <c r="I26" s="22">
        <f>IF(C26="Dia útil",'Configurações'!$B$6,0)</f>
        <v>8</v>
      </c>
      <c r="J26" s="22">
        <f>H26+IF(OR(G26="Férias",G26="Atestado médico",G26="Consulta médica",G26="Folga de banco de horas",G26="Viagem a trabalho"),I26,IF(G26="Meio dia de férias",I26/2,0))</f>
        <v>0</v>
      </c>
      <c r="K26" s="23">
        <f>IF(OR(H26&gt;0,G26&lt;&gt;""),J26-I26,0)</f>
        <v>0</v>
      </c>
      <c r="L26" s="13"/>
      <c r="M26" s="20">
        <f>IF(A26="","",MONTH(A26))</f>
        <v>1</v>
      </c>
    </row>
    <row r="27" spans="1:13" x14ac:dyDescent="0.25">
      <c r="A27" s="18">
        <f>IF(YEAR(DATE('Configurações'!$B$5,1,1)+22)='Configurações'!$B$5,DATE('Configurações'!$B$5,1,1)+22,"")</f>
        <v>46410</v>
      </c>
      <c r="B27" s="19">
        <f>A27</f>
        <v>46410</v>
      </c>
      <c r="C27" s="20" t="str">
        <f>IF(A27="","",IF(COUNTIF('Feriados'!$A$5:$A$84,A27)&gt;0,"Feriado",IF(WEEKDAY(A27,2)&gt;5,"Fim de semana","Dia útil")))</f>
        <v>Fim de semana</v>
      </c>
      <c r="D27" s="21"/>
      <c r="E27" s="21"/>
      <c r="F27" s="14"/>
      <c r="G27" s="13"/>
      <c r="H27" s="22">
        <f>IF(AND(ISNUMBER(D27),ISNUMBER(E27)),ROUND(MOD(E27-D27,1)*24-N(F27)/60,2),0)</f>
        <v>0</v>
      </c>
      <c r="I27" s="22">
        <f>IF(C27="Dia útil",'Configurações'!$B$6,0)</f>
        <v>0</v>
      </c>
      <c r="J27" s="22">
        <f>H27+IF(OR(G27="Férias",G27="Atestado médico",G27="Consulta médica",G27="Folga de banco de horas",G27="Viagem a trabalho"),I27,IF(G27="Meio dia de férias",I27/2,0))</f>
        <v>0</v>
      </c>
      <c r="K27" s="23">
        <f>IF(OR(H27&gt;0,G27&lt;&gt;""),J27-I27,0)</f>
        <v>0</v>
      </c>
      <c r="L27" s="13"/>
      <c r="M27" s="20">
        <f>IF(A27="","",MONTH(A27))</f>
        <v>1</v>
      </c>
    </row>
    <row r="28" spans="1:13" x14ac:dyDescent="0.25">
      <c r="A28" s="18">
        <f>IF(YEAR(DATE('Configurações'!$B$5,1,1)+23)='Configurações'!$B$5,DATE('Configurações'!$B$5,1,1)+23,"")</f>
        <v>46411</v>
      </c>
      <c r="B28" s="19">
        <f>A28</f>
        <v>46411</v>
      </c>
      <c r="C28" s="20" t="str">
        <f>IF(A28="","",IF(COUNTIF('Feriados'!$A$5:$A$84,A28)&gt;0,"Feriado",IF(WEEKDAY(A28,2)&gt;5,"Fim de semana","Dia útil")))</f>
        <v>Fim de semana</v>
      </c>
      <c r="D28" s="21"/>
      <c r="E28" s="21"/>
      <c r="F28" s="14"/>
      <c r="G28" s="13"/>
      <c r="H28" s="22">
        <f>IF(AND(ISNUMBER(D28),ISNUMBER(E28)),ROUND(MOD(E28-D28,1)*24-N(F28)/60,2),0)</f>
        <v>0</v>
      </c>
      <c r="I28" s="22">
        <f>IF(C28="Dia útil",'Configurações'!$B$6,0)</f>
        <v>0</v>
      </c>
      <c r="J28" s="22">
        <f>H28+IF(OR(G28="Férias",G28="Atestado médico",G28="Consulta médica",G28="Folga de banco de horas",G28="Viagem a trabalho"),I28,IF(G28="Meio dia de férias",I28/2,0))</f>
        <v>0</v>
      </c>
      <c r="K28" s="23">
        <f>IF(OR(H28&gt;0,G28&lt;&gt;""),J28-I28,0)</f>
        <v>0</v>
      </c>
      <c r="L28" s="13"/>
      <c r="M28" s="20">
        <f>IF(A28="","",MONTH(A28))</f>
        <v>1</v>
      </c>
    </row>
    <row r="29" spans="1:13" x14ac:dyDescent="0.25">
      <c r="A29" s="18">
        <f>IF(YEAR(DATE('Configurações'!$B$5,1,1)+24)='Configurações'!$B$5,DATE('Configurações'!$B$5,1,1)+24,"")</f>
        <v>46412</v>
      </c>
      <c r="B29" s="19">
        <f>A29</f>
        <v>46412</v>
      </c>
      <c r="C29" s="20" t="str">
        <f>IF(A29="","",IF(COUNTIF('Feriados'!$A$5:$A$84,A29)&gt;0,"Feriado",IF(WEEKDAY(A29,2)&gt;5,"Fim de semana","Dia útil")))</f>
        <v>Dia útil</v>
      </c>
      <c r="D29" s="21"/>
      <c r="E29" s="21"/>
      <c r="F29" s="14"/>
      <c r="G29" s="13"/>
      <c r="H29" s="22">
        <f>IF(AND(ISNUMBER(D29),ISNUMBER(E29)),ROUND(MOD(E29-D29,1)*24-N(F29)/60,2),0)</f>
        <v>0</v>
      </c>
      <c r="I29" s="22">
        <f>IF(C29="Dia útil",'Configurações'!$B$6,0)</f>
        <v>8</v>
      </c>
      <c r="J29" s="22">
        <f>H29+IF(OR(G29="Férias",G29="Atestado médico",G29="Consulta médica",G29="Folga de banco de horas",G29="Viagem a trabalho"),I29,IF(G29="Meio dia de férias",I29/2,0))</f>
        <v>0</v>
      </c>
      <c r="K29" s="23">
        <f>IF(OR(H29&gt;0,G29&lt;&gt;""),J29-I29,0)</f>
        <v>0</v>
      </c>
      <c r="L29" s="13"/>
      <c r="M29" s="20">
        <f>IF(A29="","",MONTH(A29))</f>
        <v>1</v>
      </c>
    </row>
    <row r="30" spans="1:13" x14ac:dyDescent="0.25">
      <c r="A30" s="18">
        <f>IF(YEAR(DATE('Configurações'!$B$5,1,1)+25)='Configurações'!$B$5,DATE('Configurações'!$B$5,1,1)+25,"")</f>
        <v>46413</v>
      </c>
      <c r="B30" s="19">
        <f>A30</f>
        <v>46413</v>
      </c>
      <c r="C30" s="20" t="str">
        <f>IF(A30="","",IF(COUNTIF('Feriados'!$A$5:$A$84,A30)&gt;0,"Feriado",IF(WEEKDAY(A30,2)&gt;5,"Fim de semana","Dia útil")))</f>
        <v>Dia útil</v>
      </c>
      <c r="D30" s="21"/>
      <c r="E30" s="21"/>
      <c r="F30" s="14"/>
      <c r="G30" s="13"/>
      <c r="H30" s="22">
        <f>IF(AND(ISNUMBER(D30),ISNUMBER(E30)),ROUND(MOD(E30-D30,1)*24-N(F30)/60,2),0)</f>
        <v>0</v>
      </c>
      <c r="I30" s="22">
        <f>IF(C30="Dia útil",'Configurações'!$B$6,0)</f>
        <v>8</v>
      </c>
      <c r="J30" s="22">
        <f>H30+IF(OR(G30="Férias",G30="Atestado médico",G30="Consulta médica",G30="Folga de banco de horas",G30="Viagem a trabalho"),I30,IF(G30="Meio dia de férias",I30/2,0))</f>
        <v>0</v>
      </c>
      <c r="K30" s="23">
        <f>IF(OR(H30&gt;0,G30&lt;&gt;""),J30-I30,0)</f>
        <v>0</v>
      </c>
      <c r="L30" s="13"/>
      <c r="M30" s="20">
        <f>IF(A30="","",MONTH(A30))</f>
        <v>1</v>
      </c>
    </row>
    <row r="31" spans="1:13" x14ac:dyDescent="0.25">
      <c r="A31" s="18">
        <f>IF(YEAR(DATE('Configurações'!$B$5,1,1)+26)='Configurações'!$B$5,DATE('Configurações'!$B$5,1,1)+26,"")</f>
        <v>46414</v>
      </c>
      <c r="B31" s="19">
        <f>A31</f>
        <v>46414</v>
      </c>
      <c r="C31" s="20" t="str">
        <f>IF(A31="","",IF(COUNTIF('Feriados'!$A$5:$A$84,A31)&gt;0,"Feriado",IF(WEEKDAY(A31,2)&gt;5,"Fim de semana","Dia útil")))</f>
        <v>Dia útil</v>
      </c>
      <c r="D31" s="21"/>
      <c r="E31" s="21"/>
      <c r="F31" s="14"/>
      <c r="G31" s="13"/>
      <c r="H31" s="22">
        <f>IF(AND(ISNUMBER(D31),ISNUMBER(E31)),ROUND(MOD(E31-D31,1)*24-N(F31)/60,2),0)</f>
        <v>0</v>
      </c>
      <c r="I31" s="22">
        <f>IF(C31="Dia útil",'Configurações'!$B$6,0)</f>
        <v>8</v>
      </c>
      <c r="J31" s="22">
        <f>H31+IF(OR(G31="Férias",G31="Atestado médico",G31="Consulta médica",G31="Folga de banco de horas",G31="Viagem a trabalho"),I31,IF(G31="Meio dia de férias",I31/2,0))</f>
        <v>0</v>
      </c>
      <c r="K31" s="23">
        <f>IF(OR(H31&gt;0,G31&lt;&gt;""),J31-I31,0)</f>
        <v>0</v>
      </c>
      <c r="L31" s="13"/>
      <c r="M31" s="20">
        <f>IF(A31="","",MONTH(A31))</f>
        <v>1</v>
      </c>
    </row>
    <row r="32" spans="1:13" x14ac:dyDescent="0.25">
      <c r="A32" s="18">
        <f>IF(YEAR(DATE('Configurações'!$B$5,1,1)+27)='Configurações'!$B$5,DATE('Configurações'!$B$5,1,1)+27,"")</f>
        <v>46415</v>
      </c>
      <c r="B32" s="19">
        <f>A32</f>
        <v>46415</v>
      </c>
      <c r="C32" s="20" t="str">
        <f>IF(A32="","",IF(COUNTIF('Feriados'!$A$5:$A$84,A32)&gt;0,"Feriado",IF(WEEKDAY(A32,2)&gt;5,"Fim de semana","Dia útil")))</f>
        <v>Dia útil</v>
      </c>
      <c r="D32" s="21"/>
      <c r="E32" s="21"/>
      <c r="F32" s="14"/>
      <c r="G32" s="13"/>
      <c r="H32" s="22">
        <f>IF(AND(ISNUMBER(D32),ISNUMBER(E32)),ROUND(MOD(E32-D32,1)*24-N(F32)/60,2),0)</f>
        <v>0</v>
      </c>
      <c r="I32" s="22">
        <f>IF(C32="Dia útil",'Configurações'!$B$6,0)</f>
        <v>8</v>
      </c>
      <c r="J32" s="22">
        <f>H32+IF(OR(G32="Férias",G32="Atestado médico",G32="Consulta médica",G32="Folga de banco de horas",G32="Viagem a trabalho"),I32,IF(G32="Meio dia de férias",I32/2,0))</f>
        <v>0</v>
      </c>
      <c r="K32" s="23">
        <f>IF(OR(H32&gt;0,G32&lt;&gt;""),J32-I32,0)</f>
        <v>0</v>
      </c>
      <c r="L32" s="13"/>
      <c r="M32" s="20">
        <f>IF(A32="","",MONTH(A32))</f>
        <v>1</v>
      </c>
    </row>
    <row r="33" spans="1:13" x14ac:dyDescent="0.25">
      <c r="A33" s="18">
        <f>IF(YEAR(DATE('Configurações'!$B$5,1,1)+28)='Configurações'!$B$5,DATE('Configurações'!$B$5,1,1)+28,"")</f>
        <v>46416</v>
      </c>
      <c r="B33" s="19">
        <f>A33</f>
        <v>46416</v>
      </c>
      <c r="C33" s="20" t="str">
        <f>IF(A33="","",IF(COUNTIF('Feriados'!$A$5:$A$84,A33)&gt;0,"Feriado",IF(WEEKDAY(A33,2)&gt;5,"Fim de semana","Dia útil")))</f>
        <v>Dia útil</v>
      </c>
      <c r="D33" s="21"/>
      <c r="E33" s="21"/>
      <c r="F33" s="14"/>
      <c r="G33" s="13"/>
      <c r="H33" s="22">
        <f>IF(AND(ISNUMBER(D33),ISNUMBER(E33)),ROUND(MOD(E33-D33,1)*24-N(F33)/60,2),0)</f>
        <v>0</v>
      </c>
      <c r="I33" s="22">
        <f>IF(C33="Dia útil",'Configurações'!$B$6,0)</f>
        <v>8</v>
      </c>
      <c r="J33" s="22">
        <f>H33+IF(OR(G33="Férias",G33="Atestado médico",G33="Consulta médica",G33="Folga de banco de horas",G33="Viagem a trabalho"),I33,IF(G33="Meio dia de férias",I33/2,0))</f>
        <v>0</v>
      </c>
      <c r="K33" s="23">
        <f>IF(OR(H33&gt;0,G33&lt;&gt;""),J33-I33,0)</f>
        <v>0</v>
      </c>
      <c r="L33" s="13"/>
      <c r="M33" s="20">
        <f>IF(A33="","",MONTH(A33))</f>
        <v>1</v>
      </c>
    </row>
    <row r="34" spans="1:13" x14ac:dyDescent="0.25">
      <c r="A34" s="18">
        <f>IF(YEAR(DATE('Configurações'!$B$5,1,1)+29)='Configurações'!$B$5,DATE('Configurações'!$B$5,1,1)+29,"")</f>
        <v>46417</v>
      </c>
      <c r="B34" s="19">
        <f>A34</f>
        <v>46417</v>
      </c>
      <c r="C34" s="20" t="str">
        <f>IF(A34="","",IF(COUNTIF('Feriados'!$A$5:$A$84,A34)&gt;0,"Feriado",IF(WEEKDAY(A34,2)&gt;5,"Fim de semana","Dia útil")))</f>
        <v>Fim de semana</v>
      </c>
      <c r="D34" s="21"/>
      <c r="E34" s="21"/>
      <c r="F34" s="14"/>
      <c r="G34" s="13"/>
      <c r="H34" s="22">
        <f>IF(AND(ISNUMBER(D34),ISNUMBER(E34)),ROUND(MOD(E34-D34,1)*24-N(F34)/60,2),0)</f>
        <v>0</v>
      </c>
      <c r="I34" s="22">
        <f>IF(C34="Dia útil",'Configurações'!$B$6,0)</f>
        <v>0</v>
      </c>
      <c r="J34" s="22">
        <f>H34+IF(OR(G34="Férias",G34="Atestado médico",G34="Consulta médica",G34="Folga de banco de horas",G34="Viagem a trabalho"),I34,IF(G34="Meio dia de férias",I34/2,0))</f>
        <v>0</v>
      </c>
      <c r="K34" s="23">
        <f>IF(OR(H34&gt;0,G34&lt;&gt;""),J34-I34,0)</f>
        <v>0</v>
      </c>
      <c r="L34" s="13"/>
      <c r="M34" s="20">
        <f>IF(A34="","",MONTH(A34))</f>
        <v>1</v>
      </c>
    </row>
    <row r="35" spans="1:13" x14ac:dyDescent="0.25">
      <c r="A35" s="18">
        <f>IF(YEAR(DATE('Configurações'!$B$5,1,1)+30)='Configurações'!$B$5,DATE('Configurações'!$B$5,1,1)+30,"")</f>
        <v>46418</v>
      </c>
      <c r="B35" s="19">
        <f>A35</f>
        <v>46418</v>
      </c>
      <c r="C35" s="20" t="str">
        <f>IF(A35="","",IF(COUNTIF('Feriados'!$A$5:$A$84,A35)&gt;0,"Feriado",IF(WEEKDAY(A35,2)&gt;5,"Fim de semana","Dia útil")))</f>
        <v>Fim de semana</v>
      </c>
      <c r="D35" s="21"/>
      <c r="E35" s="21"/>
      <c r="F35" s="14"/>
      <c r="G35" s="13"/>
      <c r="H35" s="22">
        <f>IF(AND(ISNUMBER(D35),ISNUMBER(E35)),ROUND(MOD(E35-D35,1)*24-N(F35)/60,2),0)</f>
        <v>0</v>
      </c>
      <c r="I35" s="22">
        <f>IF(C35="Dia útil",'Configurações'!$B$6,0)</f>
        <v>0</v>
      </c>
      <c r="J35" s="22">
        <f>H35+IF(OR(G35="Férias",G35="Atestado médico",G35="Consulta médica",G35="Folga de banco de horas",G35="Viagem a trabalho"),I35,IF(G35="Meio dia de férias",I35/2,0))</f>
        <v>0</v>
      </c>
      <c r="K35" s="23">
        <f>IF(OR(H35&gt;0,G35&lt;&gt;""),J35-I35,0)</f>
        <v>0</v>
      </c>
      <c r="L35" s="13"/>
      <c r="M35" s="20">
        <f>IF(A35="","",MONTH(A35))</f>
        <v>1</v>
      </c>
    </row>
    <row r="36" spans="1:13" x14ac:dyDescent="0.25">
      <c r="A36" s="18">
        <f>IF(YEAR(DATE('Configurações'!$B$5,1,1)+31)='Configurações'!$B$5,DATE('Configurações'!$B$5,1,1)+31,"")</f>
        <v>46419</v>
      </c>
      <c r="B36" s="19">
        <f>A36</f>
        <v>46419</v>
      </c>
      <c r="C36" s="20" t="str">
        <f>IF(A36="","",IF(COUNTIF('Feriados'!$A$5:$A$84,A36)&gt;0,"Feriado",IF(WEEKDAY(A36,2)&gt;5,"Fim de semana","Dia útil")))</f>
        <v>Dia útil</v>
      </c>
      <c r="D36" s="21"/>
      <c r="E36" s="21"/>
      <c r="F36" s="14"/>
      <c r="G36" s="13"/>
      <c r="H36" s="22">
        <f>IF(AND(ISNUMBER(D36),ISNUMBER(E36)),ROUND(MOD(E36-D36,1)*24-N(F36)/60,2),0)</f>
        <v>0</v>
      </c>
      <c r="I36" s="22">
        <f>IF(C36="Dia útil",'Configurações'!$B$6,0)</f>
        <v>8</v>
      </c>
      <c r="J36" s="22">
        <f>H36+IF(OR(G36="Férias",G36="Atestado médico",G36="Consulta médica",G36="Folga de banco de horas",G36="Viagem a trabalho"),I36,IF(G36="Meio dia de férias",I36/2,0))</f>
        <v>0</v>
      </c>
      <c r="K36" s="23">
        <f>IF(OR(H36&gt;0,G36&lt;&gt;""),J36-I36,0)</f>
        <v>0</v>
      </c>
      <c r="L36" s="13"/>
      <c r="M36" s="20">
        <f>IF(A36="","",MONTH(A36))</f>
        <v>2</v>
      </c>
    </row>
    <row r="37" spans="1:13" x14ac:dyDescent="0.25">
      <c r="A37" s="18">
        <f>IF(YEAR(DATE('Configurações'!$B$5,1,1)+32)='Configurações'!$B$5,DATE('Configurações'!$B$5,1,1)+32,"")</f>
        <v>46420</v>
      </c>
      <c r="B37" s="19">
        <f>A37</f>
        <v>46420</v>
      </c>
      <c r="C37" s="20" t="str">
        <f>IF(A37="","",IF(COUNTIF('Feriados'!$A$5:$A$84,A37)&gt;0,"Feriado",IF(WEEKDAY(A37,2)&gt;5,"Fim de semana","Dia útil")))</f>
        <v>Dia útil</v>
      </c>
      <c r="D37" s="21"/>
      <c r="E37" s="21"/>
      <c r="F37" s="14"/>
      <c r="G37" s="13"/>
      <c r="H37" s="22">
        <f>IF(AND(ISNUMBER(D37),ISNUMBER(E37)),ROUND(MOD(E37-D37,1)*24-N(F37)/60,2),0)</f>
        <v>0</v>
      </c>
      <c r="I37" s="22">
        <f>IF(C37="Dia útil",'Configurações'!$B$6,0)</f>
        <v>8</v>
      </c>
      <c r="J37" s="22">
        <f>H37+IF(OR(G37="Férias",G37="Atestado médico",G37="Consulta médica",G37="Folga de banco de horas",G37="Viagem a trabalho"),I37,IF(G37="Meio dia de férias",I37/2,0))</f>
        <v>0</v>
      </c>
      <c r="K37" s="23">
        <f>IF(OR(H37&gt;0,G37&lt;&gt;""),J37-I37,0)</f>
        <v>0</v>
      </c>
      <c r="L37" s="13"/>
      <c r="M37" s="20">
        <f>IF(A37="","",MONTH(A37))</f>
        <v>2</v>
      </c>
    </row>
    <row r="38" spans="1:13" x14ac:dyDescent="0.25">
      <c r="A38" s="18">
        <f>IF(YEAR(DATE('Configurações'!$B$5,1,1)+33)='Configurações'!$B$5,DATE('Configurações'!$B$5,1,1)+33,"")</f>
        <v>46421</v>
      </c>
      <c r="B38" s="19">
        <f>A38</f>
        <v>46421</v>
      </c>
      <c r="C38" s="20" t="str">
        <f>IF(A38="","",IF(COUNTIF('Feriados'!$A$5:$A$84,A38)&gt;0,"Feriado",IF(WEEKDAY(A38,2)&gt;5,"Fim de semana","Dia útil")))</f>
        <v>Dia útil</v>
      </c>
      <c r="D38" s="21"/>
      <c r="E38" s="21"/>
      <c r="F38" s="14"/>
      <c r="G38" s="13"/>
      <c r="H38" s="22">
        <f>IF(AND(ISNUMBER(D38),ISNUMBER(E38)),ROUND(MOD(E38-D38,1)*24-N(F38)/60,2),0)</f>
        <v>0</v>
      </c>
      <c r="I38" s="22">
        <f>IF(C38="Dia útil",'Configurações'!$B$6,0)</f>
        <v>8</v>
      </c>
      <c r="J38" s="22">
        <f>H38+IF(OR(G38="Férias",G38="Atestado médico",G38="Consulta médica",G38="Folga de banco de horas",G38="Viagem a trabalho"),I38,IF(G38="Meio dia de férias",I38/2,0))</f>
        <v>0</v>
      </c>
      <c r="K38" s="23">
        <f>IF(OR(H38&gt;0,G38&lt;&gt;""),J38-I38,0)</f>
        <v>0</v>
      </c>
      <c r="L38" s="13"/>
      <c r="M38" s="20">
        <f>IF(A38="","",MONTH(A38))</f>
        <v>2</v>
      </c>
    </row>
    <row r="39" spans="1:13" x14ac:dyDescent="0.25">
      <c r="A39" s="18">
        <f>IF(YEAR(DATE('Configurações'!$B$5,1,1)+34)='Configurações'!$B$5,DATE('Configurações'!$B$5,1,1)+34,"")</f>
        <v>46422</v>
      </c>
      <c r="B39" s="19">
        <f>A39</f>
        <v>46422</v>
      </c>
      <c r="C39" s="20" t="str">
        <f>IF(A39="","",IF(COUNTIF('Feriados'!$A$5:$A$84,A39)&gt;0,"Feriado",IF(WEEKDAY(A39,2)&gt;5,"Fim de semana","Dia útil")))</f>
        <v>Dia útil</v>
      </c>
      <c r="D39" s="21"/>
      <c r="E39" s="21"/>
      <c r="F39" s="14"/>
      <c r="G39" s="13"/>
      <c r="H39" s="22">
        <f>IF(AND(ISNUMBER(D39),ISNUMBER(E39)),ROUND(MOD(E39-D39,1)*24-N(F39)/60,2),0)</f>
        <v>0</v>
      </c>
      <c r="I39" s="22">
        <f>IF(C39="Dia útil",'Configurações'!$B$6,0)</f>
        <v>8</v>
      </c>
      <c r="J39" s="22">
        <f>H39+IF(OR(G39="Férias",G39="Atestado médico",G39="Consulta médica",G39="Folga de banco de horas",G39="Viagem a trabalho"),I39,IF(G39="Meio dia de férias",I39/2,0))</f>
        <v>0</v>
      </c>
      <c r="K39" s="23">
        <f>IF(OR(H39&gt;0,G39&lt;&gt;""),J39-I39,0)</f>
        <v>0</v>
      </c>
      <c r="L39" s="13"/>
      <c r="M39" s="20">
        <f>IF(A39="","",MONTH(A39))</f>
        <v>2</v>
      </c>
    </row>
    <row r="40" spans="1:13" x14ac:dyDescent="0.25">
      <c r="A40" s="18">
        <f>IF(YEAR(DATE('Configurações'!$B$5,1,1)+35)='Configurações'!$B$5,DATE('Configurações'!$B$5,1,1)+35,"")</f>
        <v>46423</v>
      </c>
      <c r="B40" s="19">
        <f>A40</f>
        <v>46423</v>
      </c>
      <c r="C40" s="20" t="str">
        <f>IF(A40="","",IF(COUNTIF('Feriados'!$A$5:$A$84,A40)&gt;0,"Feriado",IF(WEEKDAY(A40,2)&gt;5,"Fim de semana","Dia útil")))</f>
        <v>Dia útil</v>
      </c>
      <c r="D40" s="21"/>
      <c r="E40" s="21"/>
      <c r="F40" s="14"/>
      <c r="G40" s="13"/>
      <c r="H40" s="22">
        <f>IF(AND(ISNUMBER(D40),ISNUMBER(E40)),ROUND(MOD(E40-D40,1)*24-N(F40)/60,2),0)</f>
        <v>0</v>
      </c>
      <c r="I40" s="22">
        <f>IF(C40="Dia útil",'Configurações'!$B$6,0)</f>
        <v>8</v>
      </c>
      <c r="J40" s="22">
        <f>H40+IF(OR(G40="Férias",G40="Atestado médico",G40="Consulta médica",G40="Folga de banco de horas",G40="Viagem a trabalho"),I40,IF(G40="Meio dia de férias",I40/2,0))</f>
        <v>0</v>
      </c>
      <c r="K40" s="23">
        <f>IF(OR(H40&gt;0,G40&lt;&gt;""),J40-I40,0)</f>
        <v>0</v>
      </c>
      <c r="L40" s="13"/>
      <c r="M40" s="20">
        <f>IF(A40="","",MONTH(A40))</f>
        <v>2</v>
      </c>
    </row>
    <row r="41" spans="1:13" x14ac:dyDescent="0.25">
      <c r="A41" s="18">
        <f>IF(YEAR(DATE('Configurações'!$B$5,1,1)+36)='Configurações'!$B$5,DATE('Configurações'!$B$5,1,1)+36,"")</f>
        <v>46424</v>
      </c>
      <c r="B41" s="19">
        <f>A41</f>
        <v>46424</v>
      </c>
      <c r="C41" s="20" t="str">
        <f>IF(A41="","",IF(COUNTIF('Feriados'!$A$5:$A$84,A41)&gt;0,"Feriado",IF(WEEKDAY(A41,2)&gt;5,"Fim de semana","Dia útil")))</f>
        <v>Fim de semana</v>
      </c>
      <c r="D41" s="21"/>
      <c r="E41" s="21"/>
      <c r="F41" s="14"/>
      <c r="G41" s="13"/>
      <c r="H41" s="22">
        <f>IF(AND(ISNUMBER(D41),ISNUMBER(E41)),ROUND(MOD(E41-D41,1)*24-N(F41)/60,2),0)</f>
        <v>0</v>
      </c>
      <c r="I41" s="22">
        <f>IF(C41="Dia útil",'Configurações'!$B$6,0)</f>
        <v>0</v>
      </c>
      <c r="J41" s="22">
        <f>H41+IF(OR(G41="Férias",G41="Atestado médico",G41="Consulta médica",G41="Folga de banco de horas",G41="Viagem a trabalho"),I41,IF(G41="Meio dia de férias",I41/2,0))</f>
        <v>0</v>
      </c>
      <c r="K41" s="23">
        <f>IF(OR(H41&gt;0,G41&lt;&gt;""),J41-I41,0)</f>
        <v>0</v>
      </c>
      <c r="L41" s="13"/>
      <c r="M41" s="20">
        <f>IF(A41="","",MONTH(A41))</f>
        <v>2</v>
      </c>
    </row>
    <row r="42" spans="1:13" x14ac:dyDescent="0.25">
      <c r="A42" s="18">
        <f>IF(YEAR(DATE('Configurações'!$B$5,1,1)+37)='Configurações'!$B$5,DATE('Configurações'!$B$5,1,1)+37,"")</f>
        <v>46425</v>
      </c>
      <c r="B42" s="19">
        <f>A42</f>
        <v>46425</v>
      </c>
      <c r="C42" s="20" t="str">
        <f>IF(A42="","",IF(COUNTIF('Feriados'!$A$5:$A$84,A42)&gt;0,"Feriado",IF(WEEKDAY(A42,2)&gt;5,"Fim de semana","Dia útil")))</f>
        <v>Fim de semana</v>
      </c>
      <c r="D42" s="21"/>
      <c r="E42" s="21"/>
      <c r="F42" s="14"/>
      <c r="G42" s="13"/>
      <c r="H42" s="22">
        <f>IF(AND(ISNUMBER(D42),ISNUMBER(E42)),ROUND(MOD(E42-D42,1)*24-N(F42)/60,2),0)</f>
        <v>0</v>
      </c>
      <c r="I42" s="22">
        <f>IF(C42="Dia útil",'Configurações'!$B$6,0)</f>
        <v>0</v>
      </c>
      <c r="J42" s="22">
        <f>H42+IF(OR(G42="Férias",G42="Atestado médico",G42="Consulta médica",G42="Folga de banco de horas",G42="Viagem a trabalho"),I42,IF(G42="Meio dia de férias",I42/2,0))</f>
        <v>0</v>
      </c>
      <c r="K42" s="23">
        <f>IF(OR(H42&gt;0,G42&lt;&gt;""),J42-I42,0)</f>
        <v>0</v>
      </c>
      <c r="L42" s="13"/>
      <c r="M42" s="20">
        <f>IF(A42="","",MONTH(A42))</f>
        <v>2</v>
      </c>
    </row>
    <row r="43" spans="1:13" x14ac:dyDescent="0.25">
      <c r="A43" s="18">
        <f>IF(YEAR(DATE('Configurações'!$B$5,1,1)+38)='Configurações'!$B$5,DATE('Configurações'!$B$5,1,1)+38,"")</f>
        <v>46426</v>
      </c>
      <c r="B43" s="19">
        <f>A43</f>
        <v>46426</v>
      </c>
      <c r="C43" s="20" t="str">
        <f>IF(A43="","",IF(COUNTIF('Feriados'!$A$5:$A$84,A43)&gt;0,"Feriado",IF(WEEKDAY(A43,2)&gt;5,"Fim de semana","Dia útil")))</f>
        <v>Dia útil</v>
      </c>
      <c r="D43" s="21"/>
      <c r="E43" s="21"/>
      <c r="F43" s="14"/>
      <c r="G43" s="13"/>
      <c r="H43" s="22">
        <f>IF(AND(ISNUMBER(D43),ISNUMBER(E43)),ROUND(MOD(E43-D43,1)*24-N(F43)/60,2),0)</f>
        <v>0</v>
      </c>
      <c r="I43" s="22">
        <f>IF(C43="Dia útil",'Configurações'!$B$6,0)</f>
        <v>8</v>
      </c>
      <c r="J43" s="22">
        <f>H43+IF(OR(G43="Férias",G43="Atestado médico",G43="Consulta médica",G43="Folga de banco de horas",G43="Viagem a trabalho"),I43,IF(G43="Meio dia de férias",I43/2,0))</f>
        <v>0</v>
      </c>
      <c r="K43" s="23">
        <f>IF(OR(H43&gt;0,G43&lt;&gt;""),J43-I43,0)</f>
        <v>0</v>
      </c>
      <c r="L43" s="13"/>
      <c r="M43" s="20">
        <f>IF(A43="","",MONTH(A43))</f>
        <v>2</v>
      </c>
    </row>
    <row r="44" spans="1:13" x14ac:dyDescent="0.25">
      <c r="A44" s="18">
        <f>IF(YEAR(DATE('Configurações'!$B$5,1,1)+39)='Configurações'!$B$5,DATE('Configurações'!$B$5,1,1)+39,"")</f>
        <v>46427</v>
      </c>
      <c r="B44" s="19">
        <f>A44</f>
        <v>46427</v>
      </c>
      <c r="C44" s="20" t="str">
        <f>IF(A44="","",IF(COUNTIF('Feriados'!$A$5:$A$84,A44)&gt;0,"Feriado",IF(WEEKDAY(A44,2)&gt;5,"Fim de semana","Dia útil")))</f>
        <v>Dia útil</v>
      </c>
      <c r="D44" s="21"/>
      <c r="E44" s="21"/>
      <c r="F44" s="14"/>
      <c r="G44" s="13"/>
      <c r="H44" s="22">
        <f>IF(AND(ISNUMBER(D44),ISNUMBER(E44)),ROUND(MOD(E44-D44,1)*24-N(F44)/60,2),0)</f>
        <v>0</v>
      </c>
      <c r="I44" s="22">
        <f>IF(C44="Dia útil",'Configurações'!$B$6,0)</f>
        <v>8</v>
      </c>
      <c r="J44" s="22">
        <f>H44+IF(OR(G44="Férias",G44="Atestado médico",G44="Consulta médica",G44="Folga de banco de horas",G44="Viagem a trabalho"),I44,IF(G44="Meio dia de férias",I44/2,0))</f>
        <v>0</v>
      </c>
      <c r="K44" s="23">
        <f>IF(OR(H44&gt;0,G44&lt;&gt;""),J44-I44,0)</f>
        <v>0</v>
      </c>
      <c r="L44" s="13"/>
      <c r="M44" s="20">
        <f>IF(A44="","",MONTH(A44))</f>
        <v>2</v>
      </c>
    </row>
    <row r="45" spans="1:13" x14ac:dyDescent="0.25">
      <c r="A45" s="18">
        <f>IF(YEAR(DATE('Configurações'!$B$5,1,1)+40)='Configurações'!$B$5,DATE('Configurações'!$B$5,1,1)+40,"")</f>
        <v>46428</v>
      </c>
      <c r="B45" s="19">
        <f>A45</f>
        <v>46428</v>
      </c>
      <c r="C45" s="20" t="str">
        <f>IF(A45="","",IF(COUNTIF('Feriados'!$A$5:$A$84,A45)&gt;0,"Feriado",IF(WEEKDAY(A45,2)&gt;5,"Fim de semana","Dia útil")))</f>
        <v>Dia útil</v>
      </c>
      <c r="D45" s="21"/>
      <c r="E45" s="21"/>
      <c r="F45" s="14"/>
      <c r="G45" s="13"/>
      <c r="H45" s="22">
        <f>IF(AND(ISNUMBER(D45),ISNUMBER(E45)),ROUND(MOD(E45-D45,1)*24-N(F45)/60,2),0)</f>
        <v>0</v>
      </c>
      <c r="I45" s="22">
        <f>IF(C45="Dia útil",'Configurações'!$B$6,0)</f>
        <v>8</v>
      </c>
      <c r="J45" s="22">
        <f>H45+IF(OR(G45="Férias",G45="Atestado médico",G45="Consulta médica",G45="Folga de banco de horas",G45="Viagem a trabalho"),I45,IF(G45="Meio dia de férias",I45/2,0))</f>
        <v>0</v>
      </c>
      <c r="K45" s="23">
        <f>IF(OR(H45&gt;0,G45&lt;&gt;""),J45-I45,0)</f>
        <v>0</v>
      </c>
      <c r="L45" s="13"/>
      <c r="M45" s="20">
        <f>IF(A45="","",MONTH(A45))</f>
        <v>2</v>
      </c>
    </row>
    <row r="46" spans="1:13" x14ac:dyDescent="0.25">
      <c r="A46" s="18">
        <f>IF(YEAR(DATE('Configurações'!$B$5,1,1)+41)='Configurações'!$B$5,DATE('Configurações'!$B$5,1,1)+41,"")</f>
        <v>46429</v>
      </c>
      <c r="B46" s="19">
        <f>A46</f>
        <v>46429</v>
      </c>
      <c r="C46" s="20" t="str">
        <f>IF(A46="","",IF(COUNTIF('Feriados'!$A$5:$A$84,A46)&gt;0,"Feriado",IF(WEEKDAY(A46,2)&gt;5,"Fim de semana","Dia útil")))</f>
        <v>Dia útil</v>
      </c>
      <c r="D46" s="21"/>
      <c r="E46" s="21"/>
      <c r="F46" s="14"/>
      <c r="G46" s="13"/>
      <c r="H46" s="22">
        <f>IF(AND(ISNUMBER(D46),ISNUMBER(E46)),ROUND(MOD(E46-D46,1)*24-N(F46)/60,2),0)</f>
        <v>0</v>
      </c>
      <c r="I46" s="22">
        <f>IF(C46="Dia útil",'Configurações'!$B$6,0)</f>
        <v>8</v>
      </c>
      <c r="J46" s="22">
        <f>H46+IF(OR(G46="Férias",G46="Atestado médico",G46="Consulta médica",G46="Folga de banco de horas",G46="Viagem a trabalho"),I46,IF(G46="Meio dia de férias",I46/2,0))</f>
        <v>0</v>
      </c>
      <c r="K46" s="23">
        <f>IF(OR(H46&gt;0,G46&lt;&gt;""),J46-I46,0)</f>
        <v>0</v>
      </c>
      <c r="L46" s="13"/>
      <c r="M46" s="20">
        <f>IF(A46="","",MONTH(A46))</f>
        <v>2</v>
      </c>
    </row>
    <row r="47" spans="1:13" x14ac:dyDescent="0.25">
      <c r="A47" s="18">
        <f>IF(YEAR(DATE('Configurações'!$B$5,1,1)+42)='Configurações'!$B$5,DATE('Configurações'!$B$5,1,1)+42,"")</f>
        <v>46430</v>
      </c>
      <c r="B47" s="19">
        <f>A47</f>
        <v>46430</v>
      </c>
      <c r="C47" s="20" t="str">
        <f>IF(A47="","",IF(COUNTIF('Feriados'!$A$5:$A$84,A47)&gt;0,"Feriado",IF(WEEKDAY(A47,2)&gt;5,"Fim de semana","Dia útil")))</f>
        <v>Dia útil</v>
      </c>
      <c r="D47" s="21"/>
      <c r="E47" s="21"/>
      <c r="F47" s="14"/>
      <c r="G47" s="13"/>
      <c r="H47" s="22">
        <f>IF(AND(ISNUMBER(D47),ISNUMBER(E47)),ROUND(MOD(E47-D47,1)*24-N(F47)/60,2),0)</f>
        <v>0</v>
      </c>
      <c r="I47" s="22">
        <f>IF(C47="Dia útil",'Configurações'!$B$6,0)</f>
        <v>8</v>
      </c>
      <c r="J47" s="22">
        <f>H47+IF(OR(G47="Férias",G47="Atestado médico",G47="Consulta médica",G47="Folga de banco de horas",G47="Viagem a trabalho"),I47,IF(G47="Meio dia de férias",I47/2,0))</f>
        <v>0</v>
      </c>
      <c r="K47" s="23">
        <f>IF(OR(H47&gt;0,G47&lt;&gt;""),J47-I47,0)</f>
        <v>0</v>
      </c>
      <c r="L47" s="13"/>
      <c r="M47" s="20">
        <f>IF(A47="","",MONTH(A47))</f>
        <v>2</v>
      </c>
    </row>
    <row r="48" spans="1:13" x14ac:dyDescent="0.25">
      <c r="A48" s="18">
        <f>IF(YEAR(DATE('Configurações'!$B$5,1,1)+43)='Configurações'!$B$5,DATE('Configurações'!$B$5,1,1)+43,"")</f>
        <v>46431</v>
      </c>
      <c r="B48" s="19">
        <f>A48</f>
        <v>46431</v>
      </c>
      <c r="C48" s="20" t="str">
        <f>IF(A48="","",IF(COUNTIF('Feriados'!$A$5:$A$84,A48)&gt;0,"Feriado",IF(WEEKDAY(A48,2)&gt;5,"Fim de semana","Dia útil")))</f>
        <v>Fim de semana</v>
      </c>
      <c r="D48" s="21"/>
      <c r="E48" s="21"/>
      <c r="F48" s="14"/>
      <c r="G48" s="13"/>
      <c r="H48" s="22">
        <f>IF(AND(ISNUMBER(D48),ISNUMBER(E48)),ROUND(MOD(E48-D48,1)*24-N(F48)/60,2),0)</f>
        <v>0</v>
      </c>
      <c r="I48" s="22">
        <f>IF(C48="Dia útil",'Configurações'!$B$6,0)</f>
        <v>0</v>
      </c>
      <c r="J48" s="22">
        <f>H48+IF(OR(G48="Férias",G48="Atestado médico",G48="Consulta médica",G48="Folga de banco de horas",G48="Viagem a trabalho"),I48,IF(G48="Meio dia de férias",I48/2,0))</f>
        <v>0</v>
      </c>
      <c r="K48" s="23">
        <f>IF(OR(H48&gt;0,G48&lt;&gt;""),J48-I48,0)</f>
        <v>0</v>
      </c>
      <c r="L48" s="13"/>
      <c r="M48" s="20">
        <f>IF(A48="","",MONTH(A48))</f>
        <v>2</v>
      </c>
    </row>
    <row r="49" spans="1:13" x14ac:dyDescent="0.25">
      <c r="A49" s="18">
        <f>IF(YEAR(DATE('Configurações'!$B$5,1,1)+44)='Configurações'!$B$5,DATE('Configurações'!$B$5,1,1)+44,"")</f>
        <v>46432</v>
      </c>
      <c r="B49" s="19">
        <f>A49</f>
        <v>46432</v>
      </c>
      <c r="C49" s="20" t="str">
        <f>IF(A49="","",IF(COUNTIF('Feriados'!$A$5:$A$84,A49)&gt;0,"Feriado",IF(WEEKDAY(A49,2)&gt;5,"Fim de semana","Dia útil")))</f>
        <v>Fim de semana</v>
      </c>
      <c r="D49" s="21"/>
      <c r="E49" s="21"/>
      <c r="F49" s="14"/>
      <c r="G49" s="13"/>
      <c r="H49" s="22">
        <f>IF(AND(ISNUMBER(D49),ISNUMBER(E49)),ROUND(MOD(E49-D49,1)*24-N(F49)/60,2),0)</f>
        <v>0</v>
      </c>
      <c r="I49" s="22">
        <f>IF(C49="Dia útil",'Configurações'!$B$6,0)</f>
        <v>0</v>
      </c>
      <c r="J49" s="22">
        <f>H49+IF(OR(G49="Férias",G49="Atestado médico",G49="Consulta médica",G49="Folga de banco de horas",G49="Viagem a trabalho"),I49,IF(G49="Meio dia de férias",I49/2,0))</f>
        <v>0</v>
      </c>
      <c r="K49" s="23">
        <f>IF(OR(H49&gt;0,G49&lt;&gt;""),J49-I49,0)</f>
        <v>0</v>
      </c>
      <c r="L49" s="13"/>
      <c r="M49" s="20">
        <f>IF(A49="","",MONTH(A49))</f>
        <v>2</v>
      </c>
    </row>
    <row r="50" spans="1:13" x14ac:dyDescent="0.25">
      <c r="A50" s="18">
        <f>IF(YEAR(DATE('Configurações'!$B$5,1,1)+45)='Configurações'!$B$5,DATE('Configurações'!$B$5,1,1)+45,"")</f>
        <v>46433</v>
      </c>
      <c r="B50" s="19">
        <f>A50</f>
        <v>46433</v>
      </c>
      <c r="C50" s="20" t="str">
        <f>IF(A50="","",IF(COUNTIF('Feriados'!$A$5:$A$84,A50)&gt;0,"Feriado",IF(WEEKDAY(A50,2)&gt;5,"Fim de semana","Dia útil")))</f>
        <v>Dia útil</v>
      </c>
      <c r="D50" s="21"/>
      <c r="E50" s="21"/>
      <c r="F50" s="14"/>
      <c r="G50" s="13"/>
      <c r="H50" s="22">
        <f>IF(AND(ISNUMBER(D50),ISNUMBER(E50)),ROUND(MOD(E50-D50,1)*24-N(F50)/60,2),0)</f>
        <v>0</v>
      </c>
      <c r="I50" s="22">
        <f>IF(C50="Dia útil",'Configurações'!$B$6,0)</f>
        <v>8</v>
      </c>
      <c r="J50" s="22">
        <f>H50+IF(OR(G50="Férias",G50="Atestado médico",G50="Consulta médica",G50="Folga de banco de horas",G50="Viagem a trabalho"),I50,IF(G50="Meio dia de férias",I50/2,0))</f>
        <v>0</v>
      </c>
      <c r="K50" s="23">
        <f>IF(OR(H50&gt;0,G50&lt;&gt;""),J50-I50,0)</f>
        <v>0</v>
      </c>
      <c r="L50" s="13"/>
      <c r="M50" s="20">
        <f>IF(A50="","",MONTH(A50))</f>
        <v>2</v>
      </c>
    </row>
    <row r="51" spans="1:13" x14ac:dyDescent="0.25">
      <c r="A51" s="18">
        <f>IF(YEAR(DATE('Configurações'!$B$5,1,1)+46)='Configurações'!$B$5,DATE('Configurações'!$B$5,1,1)+46,"")</f>
        <v>46434</v>
      </c>
      <c r="B51" s="19">
        <f>A51</f>
        <v>46434</v>
      </c>
      <c r="C51" s="20" t="str">
        <f>IF(A51="","",IF(COUNTIF('Feriados'!$A$5:$A$84,A51)&gt;0,"Feriado",IF(WEEKDAY(A51,2)&gt;5,"Fim de semana","Dia útil")))</f>
        <v>Dia útil</v>
      </c>
      <c r="D51" s="21"/>
      <c r="E51" s="21"/>
      <c r="F51" s="14"/>
      <c r="G51" s="13"/>
      <c r="H51" s="22">
        <f>IF(AND(ISNUMBER(D51),ISNUMBER(E51)),ROUND(MOD(E51-D51,1)*24-N(F51)/60,2),0)</f>
        <v>0</v>
      </c>
      <c r="I51" s="22">
        <f>IF(C51="Dia útil",'Configurações'!$B$6,0)</f>
        <v>8</v>
      </c>
      <c r="J51" s="22">
        <f>H51+IF(OR(G51="Férias",G51="Atestado médico",G51="Consulta médica",G51="Folga de banco de horas",G51="Viagem a trabalho"),I51,IF(G51="Meio dia de férias",I51/2,0))</f>
        <v>0</v>
      </c>
      <c r="K51" s="23">
        <f>IF(OR(H51&gt;0,G51&lt;&gt;""),J51-I51,0)</f>
        <v>0</v>
      </c>
      <c r="L51" s="13"/>
      <c r="M51" s="20">
        <f>IF(A51="","",MONTH(A51))</f>
        <v>2</v>
      </c>
    </row>
    <row r="52" spans="1:13" x14ac:dyDescent="0.25">
      <c r="A52" s="18">
        <f>IF(YEAR(DATE('Configurações'!$B$5,1,1)+47)='Configurações'!$B$5,DATE('Configurações'!$B$5,1,1)+47,"")</f>
        <v>46435</v>
      </c>
      <c r="B52" s="19">
        <f>A52</f>
        <v>46435</v>
      </c>
      <c r="C52" s="20" t="str">
        <f>IF(A52="","",IF(COUNTIF('Feriados'!$A$5:$A$84,A52)&gt;0,"Feriado",IF(WEEKDAY(A52,2)&gt;5,"Fim de semana","Dia útil")))</f>
        <v>Dia útil</v>
      </c>
      <c r="D52" s="21"/>
      <c r="E52" s="21"/>
      <c r="F52" s="14"/>
      <c r="G52" s="13"/>
      <c r="H52" s="22">
        <f>IF(AND(ISNUMBER(D52),ISNUMBER(E52)),ROUND(MOD(E52-D52,1)*24-N(F52)/60,2),0)</f>
        <v>0</v>
      </c>
      <c r="I52" s="22">
        <f>IF(C52="Dia útil",'Configurações'!$B$6,0)</f>
        <v>8</v>
      </c>
      <c r="J52" s="22">
        <f>H52+IF(OR(G52="Férias",G52="Atestado médico",G52="Consulta médica",G52="Folga de banco de horas",G52="Viagem a trabalho"),I52,IF(G52="Meio dia de férias",I52/2,0))</f>
        <v>0</v>
      </c>
      <c r="K52" s="23">
        <f>IF(OR(H52&gt;0,G52&lt;&gt;""),J52-I52,0)</f>
        <v>0</v>
      </c>
      <c r="L52" s="13"/>
      <c r="M52" s="20">
        <f>IF(A52="","",MONTH(A52))</f>
        <v>2</v>
      </c>
    </row>
    <row r="53" spans="1:13" x14ac:dyDescent="0.25">
      <c r="A53" s="18">
        <f>IF(YEAR(DATE('Configurações'!$B$5,1,1)+48)='Configurações'!$B$5,DATE('Configurações'!$B$5,1,1)+48,"")</f>
        <v>46436</v>
      </c>
      <c r="B53" s="19">
        <f>A53</f>
        <v>46436</v>
      </c>
      <c r="C53" s="20" t="str">
        <f>IF(A53="","",IF(COUNTIF('Feriados'!$A$5:$A$84,A53)&gt;0,"Feriado",IF(WEEKDAY(A53,2)&gt;5,"Fim de semana","Dia útil")))</f>
        <v>Dia útil</v>
      </c>
      <c r="D53" s="21"/>
      <c r="E53" s="21"/>
      <c r="F53" s="14"/>
      <c r="G53" s="13"/>
      <c r="H53" s="22">
        <f>IF(AND(ISNUMBER(D53),ISNUMBER(E53)),ROUND(MOD(E53-D53,1)*24-N(F53)/60,2),0)</f>
        <v>0</v>
      </c>
      <c r="I53" s="22">
        <f>IF(C53="Dia útil",'Configurações'!$B$6,0)</f>
        <v>8</v>
      </c>
      <c r="J53" s="22">
        <f>H53+IF(OR(G53="Férias",G53="Atestado médico",G53="Consulta médica",G53="Folga de banco de horas",G53="Viagem a trabalho"),I53,IF(G53="Meio dia de férias",I53/2,0))</f>
        <v>0</v>
      </c>
      <c r="K53" s="23">
        <f>IF(OR(H53&gt;0,G53&lt;&gt;""),J53-I53,0)</f>
        <v>0</v>
      </c>
      <c r="L53" s="13"/>
      <c r="M53" s="20">
        <f>IF(A53="","",MONTH(A53))</f>
        <v>2</v>
      </c>
    </row>
    <row r="54" spans="1:13" x14ac:dyDescent="0.25">
      <c r="A54" s="18">
        <f>IF(YEAR(DATE('Configurações'!$B$5,1,1)+49)='Configurações'!$B$5,DATE('Configurações'!$B$5,1,1)+49,"")</f>
        <v>46437</v>
      </c>
      <c r="B54" s="19">
        <f>A54</f>
        <v>46437</v>
      </c>
      <c r="C54" s="20" t="str">
        <f>IF(A54="","",IF(COUNTIF('Feriados'!$A$5:$A$84,A54)&gt;0,"Feriado",IF(WEEKDAY(A54,2)&gt;5,"Fim de semana","Dia útil")))</f>
        <v>Dia útil</v>
      </c>
      <c r="D54" s="21"/>
      <c r="E54" s="21"/>
      <c r="F54" s="14"/>
      <c r="G54" s="13"/>
      <c r="H54" s="22">
        <f>IF(AND(ISNUMBER(D54),ISNUMBER(E54)),ROUND(MOD(E54-D54,1)*24-N(F54)/60,2),0)</f>
        <v>0</v>
      </c>
      <c r="I54" s="22">
        <f>IF(C54="Dia útil",'Configurações'!$B$6,0)</f>
        <v>8</v>
      </c>
      <c r="J54" s="22">
        <f>H54+IF(OR(G54="Férias",G54="Atestado médico",G54="Consulta médica",G54="Folga de banco de horas",G54="Viagem a trabalho"),I54,IF(G54="Meio dia de férias",I54/2,0))</f>
        <v>0</v>
      </c>
      <c r="K54" s="23">
        <f>IF(OR(H54&gt;0,G54&lt;&gt;""),J54-I54,0)</f>
        <v>0</v>
      </c>
      <c r="L54" s="13"/>
      <c r="M54" s="20">
        <f>IF(A54="","",MONTH(A54))</f>
        <v>2</v>
      </c>
    </row>
    <row r="55" spans="1:13" x14ac:dyDescent="0.25">
      <c r="A55" s="18">
        <f>IF(YEAR(DATE('Configurações'!$B$5,1,1)+50)='Configurações'!$B$5,DATE('Configurações'!$B$5,1,1)+50,"")</f>
        <v>46438</v>
      </c>
      <c r="B55" s="19">
        <f>A55</f>
        <v>46438</v>
      </c>
      <c r="C55" s="20" t="str">
        <f>IF(A55="","",IF(COUNTIF('Feriados'!$A$5:$A$84,A55)&gt;0,"Feriado",IF(WEEKDAY(A55,2)&gt;5,"Fim de semana","Dia útil")))</f>
        <v>Fim de semana</v>
      </c>
      <c r="D55" s="21"/>
      <c r="E55" s="21"/>
      <c r="F55" s="14"/>
      <c r="G55" s="13"/>
      <c r="H55" s="22">
        <f>IF(AND(ISNUMBER(D55),ISNUMBER(E55)),ROUND(MOD(E55-D55,1)*24-N(F55)/60,2),0)</f>
        <v>0</v>
      </c>
      <c r="I55" s="22">
        <f>IF(C55="Dia útil",'Configurações'!$B$6,0)</f>
        <v>0</v>
      </c>
      <c r="J55" s="22">
        <f>H55+IF(OR(G55="Férias",G55="Atestado médico",G55="Consulta médica",G55="Folga de banco de horas",G55="Viagem a trabalho"),I55,IF(G55="Meio dia de férias",I55/2,0))</f>
        <v>0</v>
      </c>
      <c r="K55" s="23">
        <f>IF(OR(H55&gt;0,G55&lt;&gt;""),J55-I55,0)</f>
        <v>0</v>
      </c>
      <c r="L55" s="13"/>
      <c r="M55" s="20">
        <f>IF(A55="","",MONTH(A55))</f>
        <v>2</v>
      </c>
    </row>
    <row r="56" spans="1:13" x14ac:dyDescent="0.25">
      <c r="A56" s="18">
        <f>IF(YEAR(DATE('Configurações'!$B$5,1,1)+51)='Configurações'!$B$5,DATE('Configurações'!$B$5,1,1)+51,"")</f>
        <v>46439</v>
      </c>
      <c r="B56" s="19">
        <f>A56</f>
        <v>46439</v>
      </c>
      <c r="C56" s="20" t="str">
        <f>IF(A56="","",IF(COUNTIF('Feriados'!$A$5:$A$84,A56)&gt;0,"Feriado",IF(WEEKDAY(A56,2)&gt;5,"Fim de semana","Dia útil")))</f>
        <v>Fim de semana</v>
      </c>
      <c r="D56" s="21"/>
      <c r="E56" s="21"/>
      <c r="F56" s="14"/>
      <c r="G56" s="13"/>
      <c r="H56" s="22">
        <f>IF(AND(ISNUMBER(D56),ISNUMBER(E56)),ROUND(MOD(E56-D56,1)*24-N(F56)/60,2),0)</f>
        <v>0</v>
      </c>
      <c r="I56" s="22">
        <f>IF(C56="Dia útil",'Configurações'!$B$6,0)</f>
        <v>0</v>
      </c>
      <c r="J56" s="22">
        <f>H56+IF(OR(G56="Férias",G56="Atestado médico",G56="Consulta médica",G56="Folga de banco de horas",G56="Viagem a trabalho"),I56,IF(G56="Meio dia de férias",I56/2,0))</f>
        <v>0</v>
      </c>
      <c r="K56" s="23">
        <f>IF(OR(H56&gt;0,G56&lt;&gt;""),J56-I56,0)</f>
        <v>0</v>
      </c>
      <c r="L56" s="13"/>
      <c r="M56" s="20">
        <f>IF(A56="","",MONTH(A56))</f>
        <v>2</v>
      </c>
    </row>
    <row r="57" spans="1:13" x14ac:dyDescent="0.25">
      <c r="A57" s="18">
        <f>IF(YEAR(DATE('Configurações'!$B$5,1,1)+52)='Configurações'!$B$5,DATE('Configurações'!$B$5,1,1)+52,"")</f>
        <v>46440</v>
      </c>
      <c r="B57" s="19">
        <f>A57</f>
        <v>46440</v>
      </c>
      <c r="C57" s="20" t="str">
        <f>IF(A57="","",IF(COUNTIF('Feriados'!$A$5:$A$84,A57)&gt;0,"Feriado",IF(WEEKDAY(A57,2)&gt;5,"Fim de semana","Dia útil")))</f>
        <v>Dia útil</v>
      </c>
      <c r="D57" s="21"/>
      <c r="E57" s="21"/>
      <c r="F57" s="14"/>
      <c r="G57" s="13"/>
      <c r="H57" s="22">
        <f>IF(AND(ISNUMBER(D57),ISNUMBER(E57)),ROUND(MOD(E57-D57,1)*24-N(F57)/60,2),0)</f>
        <v>0</v>
      </c>
      <c r="I57" s="22">
        <f>IF(C57="Dia útil",'Configurações'!$B$6,0)</f>
        <v>8</v>
      </c>
      <c r="J57" s="22">
        <f>H57+IF(OR(G57="Férias",G57="Atestado médico",G57="Consulta médica",G57="Folga de banco de horas",G57="Viagem a trabalho"),I57,IF(G57="Meio dia de férias",I57/2,0))</f>
        <v>0</v>
      </c>
      <c r="K57" s="23">
        <f>IF(OR(H57&gt;0,G57&lt;&gt;""),J57-I57,0)</f>
        <v>0</v>
      </c>
      <c r="L57" s="13"/>
      <c r="M57" s="20">
        <f>IF(A57="","",MONTH(A57))</f>
        <v>2</v>
      </c>
    </row>
    <row r="58" spans="1:13" x14ac:dyDescent="0.25">
      <c r="A58" s="18">
        <f>IF(YEAR(DATE('Configurações'!$B$5,1,1)+53)='Configurações'!$B$5,DATE('Configurações'!$B$5,1,1)+53,"")</f>
        <v>46441</v>
      </c>
      <c r="B58" s="19">
        <f>A58</f>
        <v>46441</v>
      </c>
      <c r="C58" s="20" t="str">
        <f>IF(A58="","",IF(COUNTIF('Feriados'!$A$5:$A$84,A58)&gt;0,"Feriado",IF(WEEKDAY(A58,2)&gt;5,"Fim de semana","Dia útil")))</f>
        <v>Dia útil</v>
      </c>
      <c r="D58" s="21"/>
      <c r="E58" s="21"/>
      <c r="F58" s="14"/>
      <c r="G58" s="13"/>
      <c r="H58" s="22">
        <f>IF(AND(ISNUMBER(D58),ISNUMBER(E58)),ROUND(MOD(E58-D58,1)*24-N(F58)/60,2),0)</f>
        <v>0</v>
      </c>
      <c r="I58" s="22">
        <f>IF(C58="Dia útil",'Configurações'!$B$6,0)</f>
        <v>8</v>
      </c>
      <c r="J58" s="22">
        <f>H58+IF(OR(G58="Férias",G58="Atestado médico",G58="Consulta médica",G58="Folga de banco de horas",G58="Viagem a trabalho"),I58,IF(G58="Meio dia de férias",I58/2,0))</f>
        <v>0</v>
      </c>
      <c r="K58" s="23">
        <f>IF(OR(H58&gt;0,G58&lt;&gt;""),J58-I58,0)</f>
        <v>0</v>
      </c>
      <c r="L58" s="13"/>
      <c r="M58" s="20">
        <f>IF(A58="","",MONTH(A58))</f>
        <v>2</v>
      </c>
    </row>
    <row r="59" spans="1:13" x14ac:dyDescent="0.25">
      <c r="A59" s="18">
        <f>IF(YEAR(DATE('Configurações'!$B$5,1,1)+54)='Configurações'!$B$5,DATE('Configurações'!$B$5,1,1)+54,"")</f>
        <v>46442</v>
      </c>
      <c r="B59" s="19">
        <f>A59</f>
        <v>46442</v>
      </c>
      <c r="C59" s="20" t="str">
        <f>IF(A59="","",IF(COUNTIF('Feriados'!$A$5:$A$84,A59)&gt;0,"Feriado",IF(WEEKDAY(A59,2)&gt;5,"Fim de semana","Dia útil")))</f>
        <v>Dia útil</v>
      </c>
      <c r="D59" s="21"/>
      <c r="E59" s="21"/>
      <c r="F59" s="14"/>
      <c r="G59" s="13"/>
      <c r="H59" s="22">
        <f>IF(AND(ISNUMBER(D59),ISNUMBER(E59)),ROUND(MOD(E59-D59,1)*24-N(F59)/60,2),0)</f>
        <v>0</v>
      </c>
      <c r="I59" s="22">
        <f>IF(C59="Dia útil",'Configurações'!$B$6,0)</f>
        <v>8</v>
      </c>
      <c r="J59" s="22">
        <f>H59+IF(OR(G59="Férias",G59="Atestado médico",G59="Consulta médica",G59="Folga de banco de horas",G59="Viagem a trabalho"),I59,IF(G59="Meio dia de férias",I59/2,0))</f>
        <v>0</v>
      </c>
      <c r="K59" s="23">
        <f>IF(OR(H59&gt;0,G59&lt;&gt;""),J59-I59,0)</f>
        <v>0</v>
      </c>
      <c r="L59" s="13"/>
      <c r="M59" s="20">
        <f>IF(A59="","",MONTH(A59))</f>
        <v>2</v>
      </c>
    </row>
    <row r="60" spans="1:13" x14ac:dyDescent="0.25">
      <c r="A60" s="18">
        <f>IF(YEAR(DATE('Configurações'!$B$5,1,1)+55)='Configurações'!$B$5,DATE('Configurações'!$B$5,1,1)+55,"")</f>
        <v>46443</v>
      </c>
      <c r="B60" s="19">
        <f>A60</f>
        <v>46443</v>
      </c>
      <c r="C60" s="20" t="str">
        <f>IF(A60="","",IF(COUNTIF('Feriados'!$A$5:$A$84,A60)&gt;0,"Feriado",IF(WEEKDAY(A60,2)&gt;5,"Fim de semana","Dia útil")))</f>
        <v>Dia útil</v>
      </c>
      <c r="D60" s="21"/>
      <c r="E60" s="21"/>
      <c r="F60" s="14"/>
      <c r="G60" s="13"/>
      <c r="H60" s="22">
        <f>IF(AND(ISNUMBER(D60),ISNUMBER(E60)),ROUND(MOD(E60-D60,1)*24-N(F60)/60,2),0)</f>
        <v>0</v>
      </c>
      <c r="I60" s="22">
        <f>IF(C60="Dia útil",'Configurações'!$B$6,0)</f>
        <v>8</v>
      </c>
      <c r="J60" s="22">
        <f>H60+IF(OR(G60="Férias",G60="Atestado médico",G60="Consulta médica",G60="Folga de banco de horas",G60="Viagem a trabalho"),I60,IF(G60="Meio dia de férias",I60/2,0))</f>
        <v>0</v>
      </c>
      <c r="K60" s="23">
        <f>IF(OR(H60&gt;0,G60&lt;&gt;""),J60-I60,0)</f>
        <v>0</v>
      </c>
      <c r="L60" s="13"/>
      <c r="M60" s="20">
        <f>IF(A60="","",MONTH(A60))</f>
        <v>2</v>
      </c>
    </row>
    <row r="61" spans="1:13" x14ac:dyDescent="0.25">
      <c r="A61" s="18">
        <f>IF(YEAR(DATE('Configurações'!$B$5,1,1)+56)='Configurações'!$B$5,DATE('Configurações'!$B$5,1,1)+56,"")</f>
        <v>46444</v>
      </c>
      <c r="B61" s="19">
        <f>A61</f>
        <v>46444</v>
      </c>
      <c r="C61" s="20" t="str">
        <f>IF(A61="","",IF(COUNTIF('Feriados'!$A$5:$A$84,A61)&gt;0,"Feriado",IF(WEEKDAY(A61,2)&gt;5,"Fim de semana","Dia útil")))</f>
        <v>Dia útil</v>
      </c>
      <c r="D61" s="21"/>
      <c r="E61" s="21"/>
      <c r="F61" s="14"/>
      <c r="G61" s="13"/>
      <c r="H61" s="22">
        <f>IF(AND(ISNUMBER(D61),ISNUMBER(E61)),ROUND(MOD(E61-D61,1)*24-N(F61)/60,2),0)</f>
        <v>0</v>
      </c>
      <c r="I61" s="22">
        <f>IF(C61="Dia útil",'Configurações'!$B$6,0)</f>
        <v>8</v>
      </c>
      <c r="J61" s="22">
        <f>H61+IF(OR(G61="Férias",G61="Atestado médico",G61="Consulta médica",G61="Folga de banco de horas",G61="Viagem a trabalho"),I61,IF(G61="Meio dia de férias",I61/2,0))</f>
        <v>0</v>
      </c>
      <c r="K61" s="23">
        <f>IF(OR(H61&gt;0,G61&lt;&gt;""),J61-I61,0)</f>
        <v>0</v>
      </c>
      <c r="L61" s="13"/>
      <c r="M61" s="20">
        <f>IF(A61="","",MONTH(A61))</f>
        <v>2</v>
      </c>
    </row>
    <row r="62" spans="1:13" x14ac:dyDescent="0.25">
      <c r="A62" s="18">
        <f>IF(YEAR(DATE('Configurações'!$B$5,1,1)+57)='Configurações'!$B$5,DATE('Configurações'!$B$5,1,1)+57,"")</f>
        <v>46445</v>
      </c>
      <c r="B62" s="19">
        <f>A62</f>
        <v>46445</v>
      </c>
      <c r="C62" s="20" t="str">
        <f>IF(A62="","",IF(COUNTIF('Feriados'!$A$5:$A$84,A62)&gt;0,"Feriado",IF(WEEKDAY(A62,2)&gt;5,"Fim de semana","Dia útil")))</f>
        <v>Fim de semana</v>
      </c>
      <c r="D62" s="21"/>
      <c r="E62" s="21"/>
      <c r="F62" s="14"/>
      <c r="G62" s="13"/>
      <c r="H62" s="22">
        <f>IF(AND(ISNUMBER(D62),ISNUMBER(E62)),ROUND(MOD(E62-D62,1)*24-N(F62)/60,2),0)</f>
        <v>0</v>
      </c>
      <c r="I62" s="22">
        <f>IF(C62="Dia útil",'Configurações'!$B$6,0)</f>
        <v>0</v>
      </c>
      <c r="J62" s="22">
        <f>H62+IF(OR(G62="Férias",G62="Atestado médico",G62="Consulta médica",G62="Folga de banco de horas",G62="Viagem a trabalho"),I62,IF(G62="Meio dia de férias",I62/2,0))</f>
        <v>0</v>
      </c>
      <c r="K62" s="23">
        <f>IF(OR(H62&gt;0,G62&lt;&gt;""),J62-I62,0)</f>
        <v>0</v>
      </c>
      <c r="L62" s="13"/>
      <c r="M62" s="20">
        <f>IF(A62="","",MONTH(A62))</f>
        <v>2</v>
      </c>
    </row>
    <row r="63" spans="1:13" x14ac:dyDescent="0.25">
      <c r="A63" s="18">
        <f>IF(YEAR(DATE('Configurações'!$B$5,1,1)+58)='Configurações'!$B$5,DATE('Configurações'!$B$5,1,1)+58,"")</f>
        <v>46446</v>
      </c>
      <c r="B63" s="19">
        <f>A63</f>
        <v>46446</v>
      </c>
      <c r="C63" s="20" t="str">
        <f>IF(A63="","",IF(COUNTIF('Feriados'!$A$5:$A$84,A63)&gt;0,"Feriado",IF(WEEKDAY(A63,2)&gt;5,"Fim de semana","Dia útil")))</f>
        <v>Fim de semana</v>
      </c>
      <c r="D63" s="21"/>
      <c r="E63" s="21"/>
      <c r="F63" s="14"/>
      <c r="G63" s="13"/>
      <c r="H63" s="22">
        <f>IF(AND(ISNUMBER(D63),ISNUMBER(E63)),ROUND(MOD(E63-D63,1)*24-N(F63)/60,2),0)</f>
        <v>0</v>
      </c>
      <c r="I63" s="22">
        <f>IF(C63="Dia útil",'Configurações'!$B$6,0)</f>
        <v>0</v>
      </c>
      <c r="J63" s="22">
        <f>H63+IF(OR(G63="Férias",G63="Atestado médico",G63="Consulta médica",G63="Folga de banco de horas",G63="Viagem a trabalho"),I63,IF(G63="Meio dia de férias",I63/2,0))</f>
        <v>0</v>
      </c>
      <c r="K63" s="23">
        <f>IF(OR(H63&gt;0,G63&lt;&gt;""),J63-I63,0)</f>
        <v>0</v>
      </c>
      <c r="L63" s="13"/>
      <c r="M63" s="20">
        <f>IF(A63="","",MONTH(A63))</f>
        <v>2</v>
      </c>
    </row>
    <row r="64" spans="1:13" x14ac:dyDescent="0.25">
      <c r="A64" s="18">
        <f>IF(YEAR(DATE('Configurações'!$B$5,1,1)+59)='Configurações'!$B$5,DATE('Configurações'!$B$5,1,1)+59,"")</f>
        <v>46447</v>
      </c>
      <c r="B64" s="19">
        <f>A64</f>
        <v>46447</v>
      </c>
      <c r="C64" s="20" t="str">
        <f>IF(A64="","",IF(COUNTIF('Feriados'!$A$5:$A$84,A64)&gt;0,"Feriado",IF(WEEKDAY(A64,2)&gt;5,"Fim de semana","Dia útil")))</f>
        <v>Dia útil</v>
      </c>
      <c r="D64" s="21"/>
      <c r="E64" s="21"/>
      <c r="F64" s="14"/>
      <c r="G64" s="13"/>
      <c r="H64" s="22">
        <f>IF(AND(ISNUMBER(D64),ISNUMBER(E64)),ROUND(MOD(E64-D64,1)*24-N(F64)/60,2),0)</f>
        <v>0</v>
      </c>
      <c r="I64" s="22">
        <f>IF(C64="Dia útil",'Configurações'!$B$6,0)</f>
        <v>8</v>
      </c>
      <c r="J64" s="22">
        <f>H64+IF(OR(G64="Férias",G64="Atestado médico",G64="Consulta médica",G64="Folga de banco de horas",G64="Viagem a trabalho"),I64,IF(G64="Meio dia de férias",I64/2,0))</f>
        <v>0</v>
      </c>
      <c r="K64" s="23">
        <f>IF(OR(H64&gt;0,G64&lt;&gt;""),J64-I64,0)</f>
        <v>0</v>
      </c>
      <c r="L64" s="13"/>
      <c r="M64" s="20">
        <f>IF(A64="","",MONTH(A64))</f>
        <v>3</v>
      </c>
    </row>
    <row r="65" spans="1:13" x14ac:dyDescent="0.25">
      <c r="A65" s="18">
        <f>IF(YEAR(DATE('Configurações'!$B$5,1,1)+60)='Configurações'!$B$5,DATE('Configurações'!$B$5,1,1)+60,"")</f>
        <v>46448</v>
      </c>
      <c r="B65" s="19">
        <f>A65</f>
        <v>46448</v>
      </c>
      <c r="C65" s="20" t="str">
        <f>IF(A65="","",IF(COUNTIF('Feriados'!$A$5:$A$84,A65)&gt;0,"Feriado",IF(WEEKDAY(A65,2)&gt;5,"Fim de semana","Dia útil")))</f>
        <v>Dia útil</v>
      </c>
      <c r="D65" s="21"/>
      <c r="E65" s="21"/>
      <c r="F65" s="14"/>
      <c r="G65" s="13"/>
      <c r="H65" s="22">
        <f>IF(AND(ISNUMBER(D65),ISNUMBER(E65)),ROUND(MOD(E65-D65,1)*24-N(F65)/60,2),0)</f>
        <v>0</v>
      </c>
      <c r="I65" s="22">
        <f>IF(C65="Dia útil",'Configurações'!$B$6,0)</f>
        <v>8</v>
      </c>
      <c r="J65" s="22">
        <f>H65+IF(OR(G65="Férias",G65="Atestado médico",G65="Consulta médica",G65="Folga de banco de horas",G65="Viagem a trabalho"),I65,IF(G65="Meio dia de férias",I65/2,0))</f>
        <v>0</v>
      </c>
      <c r="K65" s="23">
        <f>IF(OR(H65&gt;0,G65&lt;&gt;""),J65-I65,0)</f>
        <v>0</v>
      </c>
      <c r="L65" s="13"/>
      <c r="M65" s="20">
        <f>IF(A65="","",MONTH(A65))</f>
        <v>3</v>
      </c>
    </row>
    <row r="66" spans="1:13" x14ac:dyDescent="0.25">
      <c r="A66" s="18">
        <f>IF(YEAR(DATE('Configurações'!$B$5,1,1)+61)='Configurações'!$B$5,DATE('Configurações'!$B$5,1,1)+61,"")</f>
        <v>46449</v>
      </c>
      <c r="B66" s="19">
        <f>A66</f>
        <v>46449</v>
      </c>
      <c r="C66" s="20" t="str">
        <f>IF(A66="","",IF(COUNTIF('Feriados'!$A$5:$A$84,A66)&gt;0,"Feriado",IF(WEEKDAY(A66,2)&gt;5,"Fim de semana","Dia útil")))</f>
        <v>Dia útil</v>
      </c>
      <c r="D66" s="21"/>
      <c r="E66" s="21"/>
      <c r="F66" s="14"/>
      <c r="G66" s="13"/>
      <c r="H66" s="22">
        <f>IF(AND(ISNUMBER(D66),ISNUMBER(E66)),ROUND(MOD(E66-D66,1)*24-N(F66)/60,2),0)</f>
        <v>0</v>
      </c>
      <c r="I66" s="22">
        <f>IF(C66="Dia útil",'Configurações'!$B$6,0)</f>
        <v>8</v>
      </c>
      <c r="J66" s="22">
        <f>H66+IF(OR(G66="Férias",G66="Atestado médico",G66="Consulta médica",G66="Folga de banco de horas",G66="Viagem a trabalho"),I66,IF(G66="Meio dia de férias",I66/2,0))</f>
        <v>0</v>
      </c>
      <c r="K66" s="23">
        <f>IF(OR(H66&gt;0,G66&lt;&gt;""),J66-I66,0)</f>
        <v>0</v>
      </c>
      <c r="L66" s="13"/>
      <c r="M66" s="20">
        <f>IF(A66="","",MONTH(A66))</f>
        <v>3</v>
      </c>
    </row>
    <row r="67" spans="1:13" x14ac:dyDescent="0.25">
      <c r="A67" s="18">
        <f>IF(YEAR(DATE('Configurações'!$B$5,1,1)+62)='Configurações'!$B$5,DATE('Configurações'!$B$5,1,1)+62,"")</f>
        <v>46450</v>
      </c>
      <c r="B67" s="19">
        <f>A67</f>
        <v>46450</v>
      </c>
      <c r="C67" s="20" t="str">
        <f>IF(A67="","",IF(COUNTIF('Feriados'!$A$5:$A$84,A67)&gt;0,"Feriado",IF(WEEKDAY(A67,2)&gt;5,"Fim de semana","Dia útil")))</f>
        <v>Dia útil</v>
      </c>
      <c r="D67" s="21"/>
      <c r="E67" s="21"/>
      <c r="F67" s="14"/>
      <c r="G67" s="13"/>
      <c r="H67" s="22">
        <f>IF(AND(ISNUMBER(D67),ISNUMBER(E67)),ROUND(MOD(E67-D67,1)*24-N(F67)/60,2),0)</f>
        <v>0</v>
      </c>
      <c r="I67" s="22">
        <f>IF(C67="Dia útil",'Configurações'!$B$6,0)</f>
        <v>8</v>
      </c>
      <c r="J67" s="22">
        <f>H67+IF(OR(G67="Férias",G67="Atestado médico",G67="Consulta médica",G67="Folga de banco de horas",G67="Viagem a trabalho"),I67,IF(G67="Meio dia de férias",I67/2,0))</f>
        <v>0</v>
      </c>
      <c r="K67" s="23">
        <f>IF(OR(H67&gt;0,G67&lt;&gt;""),J67-I67,0)</f>
        <v>0</v>
      </c>
      <c r="L67" s="13"/>
      <c r="M67" s="20">
        <f>IF(A67="","",MONTH(A67))</f>
        <v>3</v>
      </c>
    </row>
    <row r="68" spans="1:13" x14ac:dyDescent="0.25">
      <c r="A68" s="18">
        <f>IF(YEAR(DATE('Configurações'!$B$5,1,1)+63)='Configurações'!$B$5,DATE('Configurações'!$B$5,1,1)+63,"")</f>
        <v>46451</v>
      </c>
      <c r="B68" s="19">
        <f>A68</f>
        <v>46451</v>
      </c>
      <c r="C68" s="20" t="str">
        <f>IF(A68="","",IF(COUNTIF('Feriados'!$A$5:$A$84,A68)&gt;0,"Feriado",IF(WEEKDAY(A68,2)&gt;5,"Fim de semana","Dia útil")))</f>
        <v>Dia útil</v>
      </c>
      <c r="D68" s="21"/>
      <c r="E68" s="21"/>
      <c r="F68" s="14"/>
      <c r="G68" s="13"/>
      <c r="H68" s="22">
        <f>IF(AND(ISNUMBER(D68),ISNUMBER(E68)),ROUND(MOD(E68-D68,1)*24-N(F68)/60,2),0)</f>
        <v>0</v>
      </c>
      <c r="I68" s="22">
        <f>IF(C68="Dia útil",'Configurações'!$B$6,0)</f>
        <v>8</v>
      </c>
      <c r="J68" s="22">
        <f>H68+IF(OR(G68="Férias",G68="Atestado médico",G68="Consulta médica",G68="Folga de banco de horas",G68="Viagem a trabalho"),I68,IF(G68="Meio dia de férias",I68/2,0))</f>
        <v>0</v>
      </c>
      <c r="K68" s="23">
        <f>IF(OR(H68&gt;0,G68&lt;&gt;""),J68-I68,0)</f>
        <v>0</v>
      </c>
      <c r="L68" s="13"/>
      <c r="M68" s="20">
        <f>IF(A68="","",MONTH(A68))</f>
        <v>3</v>
      </c>
    </row>
    <row r="69" spans="1:13" x14ac:dyDescent="0.25">
      <c r="A69" s="18">
        <f>IF(YEAR(DATE('Configurações'!$B$5,1,1)+64)='Configurações'!$B$5,DATE('Configurações'!$B$5,1,1)+64,"")</f>
        <v>46452</v>
      </c>
      <c r="B69" s="19">
        <f>A69</f>
        <v>46452</v>
      </c>
      <c r="C69" s="20" t="str">
        <f>IF(A69="","",IF(COUNTIF('Feriados'!$A$5:$A$84,A69)&gt;0,"Feriado",IF(WEEKDAY(A69,2)&gt;5,"Fim de semana","Dia útil")))</f>
        <v>Fim de semana</v>
      </c>
      <c r="D69" s="21"/>
      <c r="E69" s="21"/>
      <c r="F69" s="14"/>
      <c r="G69" s="13"/>
      <c r="H69" s="22">
        <f>IF(AND(ISNUMBER(D69),ISNUMBER(E69)),ROUND(MOD(E69-D69,1)*24-N(F69)/60,2),0)</f>
        <v>0</v>
      </c>
      <c r="I69" s="22">
        <f>IF(C69="Dia útil",'Configurações'!$B$6,0)</f>
        <v>0</v>
      </c>
      <c r="J69" s="22">
        <f>H69+IF(OR(G69="Férias",G69="Atestado médico",G69="Consulta médica",G69="Folga de banco de horas",G69="Viagem a trabalho"),I69,IF(G69="Meio dia de férias",I69/2,0))</f>
        <v>0</v>
      </c>
      <c r="K69" s="23">
        <f>IF(OR(H69&gt;0,G69&lt;&gt;""),J69-I69,0)</f>
        <v>0</v>
      </c>
      <c r="L69" s="13"/>
      <c r="M69" s="20">
        <f>IF(A69="","",MONTH(A69))</f>
        <v>3</v>
      </c>
    </row>
    <row r="70" spans="1:13" x14ac:dyDescent="0.25">
      <c r="A70" s="18">
        <f>IF(YEAR(DATE('Configurações'!$B$5,1,1)+65)='Configurações'!$B$5,DATE('Configurações'!$B$5,1,1)+65,"")</f>
        <v>46453</v>
      </c>
      <c r="B70" s="19">
        <f>A70</f>
        <v>46453</v>
      </c>
      <c r="C70" s="20" t="str">
        <f>IF(A70="","",IF(COUNTIF('Feriados'!$A$5:$A$84,A70)&gt;0,"Feriado",IF(WEEKDAY(A70,2)&gt;5,"Fim de semana","Dia útil")))</f>
        <v>Fim de semana</v>
      </c>
      <c r="D70" s="21"/>
      <c r="E70" s="21"/>
      <c r="F70" s="14"/>
      <c r="G70" s="13"/>
      <c r="H70" s="22">
        <f>IF(AND(ISNUMBER(D70),ISNUMBER(E70)),ROUND(MOD(E70-D70,1)*24-N(F70)/60,2),0)</f>
        <v>0</v>
      </c>
      <c r="I70" s="22">
        <f>IF(C70="Dia útil",'Configurações'!$B$6,0)</f>
        <v>0</v>
      </c>
      <c r="J70" s="22">
        <f>H70+IF(OR(G70="Férias",G70="Atestado médico",G70="Consulta médica",G70="Folga de banco de horas",G70="Viagem a trabalho"),I70,IF(G70="Meio dia de férias",I70/2,0))</f>
        <v>0</v>
      </c>
      <c r="K70" s="23">
        <f>IF(OR(H70&gt;0,G70&lt;&gt;""),J70-I70,0)</f>
        <v>0</v>
      </c>
      <c r="L70" s="13"/>
      <c r="M70" s="20">
        <f>IF(A70="","",MONTH(A70))</f>
        <v>3</v>
      </c>
    </row>
    <row r="71" spans="1:13" x14ac:dyDescent="0.25">
      <c r="A71" s="18">
        <f>IF(YEAR(DATE('Configurações'!$B$5,1,1)+66)='Configurações'!$B$5,DATE('Configurações'!$B$5,1,1)+66,"")</f>
        <v>46454</v>
      </c>
      <c r="B71" s="19">
        <f>A71</f>
        <v>46454</v>
      </c>
      <c r="C71" s="20" t="str">
        <f>IF(A71="","",IF(COUNTIF('Feriados'!$A$5:$A$84,A71)&gt;0,"Feriado",IF(WEEKDAY(A71,2)&gt;5,"Fim de semana","Dia útil")))</f>
        <v>Dia útil</v>
      </c>
      <c r="D71" s="21"/>
      <c r="E71" s="21"/>
      <c r="F71" s="14"/>
      <c r="G71" s="13"/>
      <c r="H71" s="22">
        <f>IF(AND(ISNUMBER(D71),ISNUMBER(E71)),ROUND(MOD(E71-D71,1)*24-N(F71)/60,2),0)</f>
        <v>0</v>
      </c>
      <c r="I71" s="22">
        <f>IF(C71="Dia útil",'Configurações'!$B$6,0)</f>
        <v>8</v>
      </c>
      <c r="J71" s="22">
        <f>H71+IF(OR(G71="Férias",G71="Atestado médico",G71="Consulta médica",G71="Folga de banco de horas",G71="Viagem a trabalho"),I71,IF(G71="Meio dia de férias",I71/2,0))</f>
        <v>0</v>
      </c>
      <c r="K71" s="23">
        <f>IF(OR(H71&gt;0,G71&lt;&gt;""),J71-I71,0)</f>
        <v>0</v>
      </c>
      <c r="L71" s="13"/>
      <c r="M71" s="20">
        <f>IF(A71="","",MONTH(A71))</f>
        <v>3</v>
      </c>
    </row>
    <row r="72" spans="1:13" x14ac:dyDescent="0.25">
      <c r="A72" s="18">
        <f>IF(YEAR(DATE('Configurações'!$B$5,1,1)+67)='Configurações'!$B$5,DATE('Configurações'!$B$5,1,1)+67,"")</f>
        <v>46455</v>
      </c>
      <c r="B72" s="19">
        <f>A72</f>
        <v>46455</v>
      </c>
      <c r="C72" s="20" t="str">
        <f>IF(A72="","",IF(COUNTIF('Feriados'!$A$5:$A$84,A72)&gt;0,"Feriado",IF(WEEKDAY(A72,2)&gt;5,"Fim de semana","Dia útil")))</f>
        <v>Dia útil</v>
      </c>
      <c r="D72" s="21"/>
      <c r="E72" s="21"/>
      <c r="F72" s="14"/>
      <c r="G72" s="13"/>
      <c r="H72" s="22">
        <f>IF(AND(ISNUMBER(D72),ISNUMBER(E72)),ROUND(MOD(E72-D72,1)*24-N(F72)/60,2),0)</f>
        <v>0</v>
      </c>
      <c r="I72" s="22">
        <f>IF(C72="Dia útil",'Configurações'!$B$6,0)</f>
        <v>8</v>
      </c>
      <c r="J72" s="22">
        <f>H72+IF(OR(G72="Férias",G72="Atestado médico",G72="Consulta médica",G72="Folga de banco de horas",G72="Viagem a trabalho"),I72,IF(G72="Meio dia de férias",I72/2,0))</f>
        <v>0</v>
      </c>
      <c r="K72" s="23">
        <f>IF(OR(H72&gt;0,G72&lt;&gt;""),J72-I72,0)</f>
        <v>0</v>
      </c>
      <c r="L72" s="13"/>
      <c r="M72" s="20">
        <f>IF(A72="","",MONTH(A72))</f>
        <v>3</v>
      </c>
    </row>
    <row r="73" spans="1:13" x14ac:dyDescent="0.25">
      <c r="A73" s="18">
        <f>IF(YEAR(DATE('Configurações'!$B$5,1,1)+68)='Configurações'!$B$5,DATE('Configurações'!$B$5,1,1)+68,"")</f>
        <v>46456</v>
      </c>
      <c r="B73" s="19">
        <f>A73</f>
        <v>46456</v>
      </c>
      <c r="C73" s="20" t="str">
        <f>IF(A73="","",IF(COUNTIF('Feriados'!$A$5:$A$84,A73)&gt;0,"Feriado",IF(WEEKDAY(A73,2)&gt;5,"Fim de semana","Dia útil")))</f>
        <v>Dia útil</v>
      </c>
      <c r="D73" s="21"/>
      <c r="E73" s="21"/>
      <c r="F73" s="14"/>
      <c r="G73" s="13"/>
      <c r="H73" s="22">
        <f>IF(AND(ISNUMBER(D73),ISNUMBER(E73)),ROUND(MOD(E73-D73,1)*24-N(F73)/60,2),0)</f>
        <v>0</v>
      </c>
      <c r="I73" s="22">
        <f>IF(C73="Dia útil",'Configurações'!$B$6,0)</f>
        <v>8</v>
      </c>
      <c r="J73" s="22">
        <f>H73+IF(OR(G73="Férias",G73="Atestado médico",G73="Consulta médica",G73="Folga de banco de horas",G73="Viagem a trabalho"),I73,IF(G73="Meio dia de férias",I73/2,0))</f>
        <v>0</v>
      </c>
      <c r="K73" s="23">
        <f>IF(OR(H73&gt;0,G73&lt;&gt;""),J73-I73,0)</f>
        <v>0</v>
      </c>
      <c r="L73" s="13"/>
      <c r="M73" s="20">
        <f>IF(A73="","",MONTH(A73))</f>
        <v>3</v>
      </c>
    </row>
    <row r="74" spans="1:13" x14ac:dyDescent="0.25">
      <c r="A74" s="18">
        <f>IF(YEAR(DATE('Configurações'!$B$5,1,1)+69)='Configurações'!$B$5,DATE('Configurações'!$B$5,1,1)+69,"")</f>
        <v>46457</v>
      </c>
      <c r="B74" s="19">
        <f>A74</f>
        <v>46457</v>
      </c>
      <c r="C74" s="20" t="str">
        <f>IF(A74="","",IF(COUNTIF('Feriados'!$A$5:$A$84,A74)&gt;0,"Feriado",IF(WEEKDAY(A74,2)&gt;5,"Fim de semana","Dia útil")))</f>
        <v>Dia útil</v>
      </c>
      <c r="D74" s="21"/>
      <c r="E74" s="21"/>
      <c r="F74" s="14"/>
      <c r="G74" s="13"/>
      <c r="H74" s="22">
        <f>IF(AND(ISNUMBER(D74),ISNUMBER(E74)),ROUND(MOD(E74-D74,1)*24-N(F74)/60,2),0)</f>
        <v>0</v>
      </c>
      <c r="I74" s="22">
        <f>IF(C74="Dia útil",'Configurações'!$B$6,0)</f>
        <v>8</v>
      </c>
      <c r="J74" s="22">
        <f>H74+IF(OR(G74="Férias",G74="Atestado médico",G74="Consulta médica",G74="Folga de banco de horas",G74="Viagem a trabalho"),I74,IF(G74="Meio dia de férias",I74/2,0))</f>
        <v>0</v>
      </c>
      <c r="K74" s="23">
        <f>IF(OR(H74&gt;0,G74&lt;&gt;""),J74-I74,0)</f>
        <v>0</v>
      </c>
      <c r="L74" s="13"/>
      <c r="M74" s="20">
        <f>IF(A74="","",MONTH(A74))</f>
        <v>3</v>
      </c>
    </row>
    <row r="75" spans="1:13" x14ac:dyDescent="0.25">
      <c r="A75" s="18">
        <f>IF(YEAR(DATE('Configurações'!$B$5,1,1)+70)='Configurações'!$B$5,DATE('Configurações'!$B$5,1,1)+70,"")</f>
        <v>46458</v>
      </c>
      <c r="B75" s="19">
        <f>A75</f>
        <v>46458</v>
      </c>
      <c r="C75" s="20" t="str">
        <f>IF(A75="","",IF(COUNTIF('Feriados'!$A$5:$A$84,A75)&gt;0,"Feriado",IF(WEEKDAY(A75,2)&gt;5,"Fim de semana","Dia útil")))</f>
        <v>Dia útil</v>
      </c>
      <c r="D75" s="21"/>
      <c r="E75" s="21"/>
      <c r="F75" s="14"/>
      <c r="G75" s="13"/>
      <c r="H75" s="22">
        <f>IF(AND(ISNUMBER(D75),ISNUMBER(E75)),ROUND(MOD(E75-D75,1)*24-N(F75)/60,2),0)</f>
        <v>0</v>
      </c>
      <c r="I75" s="22">
        <f>IF(C75="Dia útil",'Configurações'!$B$6,0)</f>
        <v>8</v>
      </c>
      <c r="J75" s="22">
        <f>H75+IF(OR(G75="Férias",G75="Atestado médico",G75="Consulta médica",G75="Folga de banco de horas",G75="Viagem a trabalho"),I75,IF(G75="Meio dia de férias",I75/2,0))</f>
        <v>0</v>
      </c>
      <c r="K75" s="23">
        <f>IF(OR(H75&gt;0,G75&lt;&gt;""),J75-I75,0)</f>
        <v>0</v>
      </c>
      <c r="L75" s="13"/>
      <c r="M75" s="20">
        <f>IF(A75="","",MONTH(A75))</f>
        <v>3</v>
      </c>
    </row>
    <row r="76" spans="1:13" x14ac:dyDescent="0.25">
      <c r="A76" s="18">
        <f>IF(YEAR(DATE('Configurações'!$B$5,1,1)+71)='Configurações'!$B$5,DATE('Configurações'!$B$5,1,1)+71,"")</f>
        <v>46459</v>
      </c>
      <c r="B76" s="19">
        <f>A76</f>
        <v>46459</v>
      </c>
      <c r="C76" s="20" t="str">
        <f>IF(A76="","",IF(COUNTIF('Feriados'!$A$5:$A$84,A76)&gt;0,"Feriado",IF(WEEKDAY(A76,2)&gt;5,"Fim de semana","Dia útil")))</f>
        <v>Fim de semana</v>
      </c>
      <c r="D76" s="21"/>
      <c r="E76" s="21"/>
      <c r="F76" s="14"/>
      <c r="G76" s="13"/>
      <c r="H76" s="22">
        <f>IF(AND(ISNUMBER(D76),ISNUMBER(E76)),ROUND(MOD(E76-D76,1)*24-N(F76)/60,2),0)</f>
        <v>0</v>
      </c>
      <c r="I76" s="22">
        <f>IF(C76="Dia útil",'Configurações'!$B$6,0)</f>
        <v>0</v>
      </c>
      <c r="J76" s="22">
        <f>H76+IF(OR(G76="Férias",G76="Atestado médico",G76="Consulta médica",G76="Folga de banco de horas",G76="Viagem a trabalho"),I76,IF(G76="Meio dia de férias",I76/2,0))</f>
        <v>0</v>
      </c>
      <c r="K76" s="23">
        <f>IF(OR(H76&gt;0,G76&lt;&gt;""),J76-I76,0)</f>
        <v>0</v>
      </c>
      <c r="L76" s="13"/>
      <c r="M76" s="20">
        <f>IF(A76="","",MONTH(A76))</f>
        <v>3</v>
      </c>
    </row>
    <row r="77" spans="1:13" x14ac:dyDescent="0.25">
      <c r="A77" s="18">
        <f>IF(YEAR(DATE('Configurações'!$B$5,1,1)+72)='Configurações'!$B$5,DATE('Configurações'!$B$5,1,1)+72,"")</f>
        <v>46460</v>
      </c>
      <c r="B77" s="19">
        <f>A77</f>
        <v>46460</v>
      </c>
      <c r="C77" s="20" t="str">
        <f>IF(A77="","",IF(COUNTIF('Feriados'!$A$5:$A$84,A77)&gt;0,"Feriado",IF(WEEKDAY(A77,2)&gt;5,"Fim de semana","Dia útil")))</f>
        <v>Fim de semana</v>
      </c>
      <c r="D77" s="21"/>
      <c r="E77" s="21"/>
      <c r="F77" s="14"/>
      <c r="G77" s="13"/>
      <c r="H77" s="22">
        <f>IF(AND(ISNUMBER(D77),ISNUMBER(E77)),ROUND(MOD(E77-D77,1)*24-N(F77)/60,2),0)</f>
        <v>0</v>
      </c>
      <c r="I77" s="22">
        <f>IF(C77="Dia útil",'Configurações'!$B$6,0)</f>
        <v>0</v>
      </c>
      <c r="J77" s="22">
        <f>H77+IF(OR(G77="Férias",G77="Atestado médico",G77="Consulta médica",G77="Folga de banco de horas",G77="Viagem a trabalho"),I77,IF(G77="Meio dia de férias",I77/2,0))</f>
        <v>0</v>
      </c>
      <c r="K77" s="23">
        <f>IF(OR(H77&gt;0,G77&lt;&gt;""),J77-I77,0)</f>
        <v>0</v>
      </c>
      <c r="L77" s="13"/>
      <c r="M77" s="20">
        <f>IF(A77="","",MONTH(A77))</f>
        <v>3</v>
      </c>
    </row>
    <row r="78" spans="1:13" x14ac:dyDescent="0.25">
      <c r="A78" s="18">
        <f>IF(YEAR(DATE('Configurações'!$B$5,1,1)+73)='Configurações'!$B$5,DATE('Configurações'!$B$5,1,1)+73,"")</f>
        <v>46461</v>
      </c>
      <c r="B78" s="19">
        <f>A78</f>
        <v>46461</v>
      </c>
      <c r="C78" s="20" t="str">
        <f>IF(A78="","",IF(COUNTIF('Feriados'!$A$5:$A$84,A78)&gt;0,"Feriado",IF(WEEKDAY(A78,2)&gt;5,"Fim de semana","Dia útil")))</f>
        <v>Dia útil</v>
      </c>
      <c r="D78" s="21"/>
      <c r="E78" s="21"/>
      <c r="F78" s="14"/>
      <c r="G78" s="13"/>
      <c r="H78" s="22">
        <f>IF(AND(ISNUMBER(D78),ISNUMBER(E78)),ROUND(MOD(E78-D78,1)*24-N(F78)/60,2),0)</f>
        <v>0</v>
      </c>
      <c r="I78" s="22">
        <f>IF(C78="Dia útil",'Configurações'!$B$6,0)</f>
        <v>8</v>
      </c>
      <c r="J78" s="22">
        <f>H78+IF(OR(G78="Férias",G78="Atestado médico",G78="Consulta médica",G78="Folga de banco de horas",G78="Viagem a trabalho"),I78,IF(G78="Meio dia de férias",I78/2,0))</f>
        <v>0</v>
      </c>
      <c r="K78" s="23">
        <f>IF(OR(H78&gt;0,G78&lt;&gt;""),J78-I78,0)</f>
        <v>0</v>
      </c>
      <c r="L78" s="13"/>
      <c r="M78" s="20">
        <f>IF(A78="","",MONTH(A78))</f>
        <v>3</v>
      </c>
    </row>
    <row r="79" spans="1:13" x14ac:dyDescent="0.25">
      <c r="A79" s="18">
        <f>IF(YEAR(DATE('Configurações'!$B$5,1,1)+74)='Configurações'!$B$5,DATE('Configurações'!$B$5,1,1)+74,"")</f>
        <v>46462</v>
      </c>
      <c r="B79" s="19">
        <f>A79</f>
        <v>46462</v>
      </c>
      <c r="C79" s="20" t="str">
        <f>IF(A79="","",IF(COUNTIF('Feriados'!$A$5:$A$84,A79)&gt;0,"Feriado",IF(WEEKDAY(A79,2)&gt;5,"Fim de semana","Dia útil")))</f>
        <v>Dia útil</v>
      </c>
      <c r="D79" s="21"/>
      <c r="E79" s="21"/>
      <c r="F79" s="14"/>
      <c r="G79" s="13"/>
      <c r="H79" s="22">
        <f>IF(AND(ISNUMBER(D79),ISNUMBER(E79)),ROUND(MOD(E79-D79,1)*24-N(F79)/60,2),0)</f>
        <v>0</v>
      </c>
      <c r="I79" s="22">
        <f>IF(C79="Dia útil",'Configurações'!$B$6,0)</f>
        <v>8</v>
      </c>
      <c r="J79" s="22">
        <f>H79+IF(OR(G79="Férias",G79="Atestado médico",G79="Consulta médica",G79="Folga de banco de horas",G79="Viagem a trabalho"),I79,IF(G79="Meio dia de férias",I79/2,0))</f>
        <v>0</v>
      </c>
      <c r="K79" s="23">
        <f>IF(OR(H79&gt;0,G79&lt;&gt;""),J79-I79,0)</f>
        <v>0</v>
      </c>
      <c r="L79" s="13"/>
      <c r="M79" s="20">
        <f>IF(A79="","",MONTH(A79))</f>
        <v>3</v>
      </c>
    </row>
    <row r="80" spans="1:13" x14ac:dyDescent="0.25">
      <c r="A80" s="18">
        <f>IF(YEAR(DATE('Configurações'!$B$5,1,1)+75)='Configurações'!$B$5,DATE('Configurações'!$B$5,1,1)+75,"")</f>
        <v>46463</v>
      </c>
      <c r="B80" s="19">
        <f>A80</f>
        <v>46463</v>
      </c>
      <c r="C80" s="20" t="str">
        <f>IF(A80="","",IF(COUNTIF('Feriados'!$A$5:$A$84,A80)&gt;0,"Feriado",IF(WEEKDAY(A80,2)&gt;5,"Fim de semana","Dia útil")))</f>
        <v>Dia útil</v>
      </c>
      <c r="D80" s="21"/>
      <c r="E80" s="21"/>
      <c r="F80" s="14"/>
      <c r="G80" s="13"/>
      <c r="H80" s="22">
        <f>IF(AND(ISNUMBER(D80),ISNUMBER(E80)),ROUND(MOD(E80-D80,1)*24-N(F80)/60,2),0)</f>
        <v>0</v>
      </c>
      <c r="I80" s="22">
        <f>IF(C80="Dia útil",'Configurações'!$B$6,0)</f>
        <v>8</v>
      </c>
      <c r="J80" s="22">
        <f>H80+IF(OR(G80="Férias",G80="Atestado médico",G80="Consulta médica",G80="Folga de banco de horas",G80="Viagem a trabalho"),I80,IF(G80="Meio dia de férias",I80/2,0))</f>
        <v>0</v>
      </c>
      <c r="K80" s="23">
        <f>IF(OR(H80&gt;0,G80&lt;&gt;""),J80-I80,0)</f>
        <v>0</v>
      </c>
      <c r="L80" s="13"/>
      <c r="M80" s="20">
        <f>IF(A80="","",MONTH(A80))</f>
        <v>3</v>
      </c>
    </row>
    <row r="81" spans="1:13" x14ac:dyDescent="0.25">
      <c r="A81" s="18">
        <f>IF(YEAR(DATE('Configurações'!$B$5,1,1)+76)='Configurações'!$B$5,DATE('Configurações'!$B$5,1,1)+76,"")</f>
        <v>46464</v>
      </c>
      <c r="B81" s="19">
        <f>A81</f>
        <v>46464</v>
      </c>
      <c r="C81" s="20" t="str">
        <f>IF(A81="","",IF(COUNTIF('Feriados'!$A$5:$A$84,A81)&gt;0,"Feriado",IF(WEEKDAY(A81,2)&gt;5,"Fim de semana","Dia útil")))</f>
        <v>Dia útil</v>
      </c>
      <c r="D81" s="21"/>
      <c r="E81" s="21"/>
      <c r="F81" s="14"/>
      <c r="G81" s="13"/>
      <c r="H81" s="22">
        <f>IF(AND(ISNUMBER(D81),ISNUMBER(E81)),ROUND(MOD(E81-D81,1)*24-N(F81)/60,2),0)</f>
        <v>0</v>
      </c>
      <c r="I81" s="22">
        <f>IF(C81="Dia útil",'Configurações'!$B$6,0)</f>
        <v>8</v>
      </c>
      <c r="J81" s="22">
        <f>H81+IF(OR(G81="Férias",G81="Atestado médico",G81="Consulta médica",G81="Folga de banco de horas",G81="Viagem a trabalho"),I81,IF(G81="Meio dia de férias",I81/2,0))</f>
        <v>0</v>
      </c>
      <c r="K81" s="23">
        <f>IF(OR(H81&gt;0,G81&lt;&gt;""),J81-I81,0)</f>
        <v>0</v>
      </c>
      <c r="L81" s="13"/>
      <c r="M81" s="20">
        <f>IF(A81="","",MONTH(A81))</f>
        <v>3</v>
      </c>
    </row>
    <row r="82" spans="1:13" x14ac:dyDescent="0.25">
      <c r="A82" s="18">
        <f>IF(YEAR(DATE('Configurações'!$B$5,1,1)+77)='Configurações'!$B$5,DATE('Configurações'!$B$5,1,1)+77,"")</f>
        <v>46465</v>
      </c>
      <c r="B82" s="19">
        <f>A82</f>
        <v>46465</v>
      </c>
      <c r="C82" s="20" t="str">
        <f>IF(A82="","",IF(COUNTIF('Feriados'!$A$5:$A$84,A82)&gt;0,"Feriado",IF(WEEKDAY(A82,2)&gt;5,"Fim de semana","Dia útil")))</f>
        <v>Dia útil</v>
      </c>
      <c r="D82" s="21"/>
      <c r="E82" s="21"/>
      <c r="F82" s="14"/>
      <c r="G82" s="13"/>
      <c r="H82" s="22">
        <f>IF(AND(ISNUMBER(D82),ISNUMBER(E82)),ROUND(MOD(E82-D82,1)*24-N(F82)/60,2),0)</f>
        <v>0</v>
      </c>
      <c r="I82" s="22">
        <f>IF(C82="Dia útil",'Configurações'!$B$6,0)</f>
        <v>8</v>
      </c>
      <c r="J82" s="22">
        <f>H82+IF(OR(G82="Férias",G82="Atestado médico",G82="Consulta médica",G82="Folga de banco de horas",G82="Viagem a trabalho"),I82,IF(G82="Meio dia de férias",I82/2,0))</f>
        <v>0</v>
      </c>
      <c r="K82" s="23">
        <f>IF(OR(H82&gt;0,G82&lt;&gt;""),J82-I82,0)</f>
        <v>0</v>
      </c>
      <c r="L82" s="13"/>
      <c r="M82" s="20">
        <f>IF(A82="","",MONTH(A82))</f>
        <v>3</v>
      </c>
    </row>
    <row r="83" spans="1:13" x14ac:dyDescent="0.25">
      <c r="A83" s="18">
        <f>IF(YEAR(DATE('Configurações'!$B$5,1,1)+78)='Configurações'!$B$5,DATE('Configurações'!$B$5,1,1)+78,"")</f>
        <v>46466</v>
      </c>
      <c r="B83" s="19">
        <f>A83</f>
        <v>46466</v>
      </c>
      <c r="C83" s="20" t="str">
        <f>IF(A83="","",IF(COUNTIF('Feriados'!$A$5:$A$84,A83)&gt;0,"Feriado",IF(WEEKDAY(A83,2)&gt;5,"Fim de semana","Dia útil")))</f>
        <v>Fim de semana</v>
      </c>
      <c r="D83" s="21"/>
      <c r="E83" s="21"/>
      <c r="F83" s="14"/>
      <c r="G83" s="13"/>
      <c r="H83" s="22">
        <f>IF(AND(ISNUMBER(D83),ISNUMBER(E83)),ROUND(MOD(E83-D83,1)*24-N(F83)/60,2),0)</f>
        <v>0</v>
      </c>
      <c r="I83" s="22">
        <f>IF(C83="Dia útil",'Configurações'!$B$6,0)</f>
        <v>0</v>
      </c>
      <c r="J83" s="22">
        <f>H83+IF(OR(G83="Férias",G83="Atestado médico",G83="Consulta médica",G83="Folga de banco de horas",G83="Viagem a trabalho"),I83,IF(G83="Meio dia de férias",I83/2,0))</f>
        <v>0</v>
      </c>
      <c r="K83" s="23">
        <f>IF(OR(H83&gt;0,G83&lt;&gt;""),J83-I83,0)</f>
        <v>0</v>
      </c>
      <c r="L83" s="13"/>
      <c r="M83" s="20">
        <f>IF(A83="","",MONTH(A83))</f>
        <v>3</v>
      </c>
    </row>
    <row r="84" spans="1:13" x14ac:dyDescent="0.25">
      <c r="A84" s="18">
        <f>IF(YEAR(DATE('Configurações'!$B$5,1,1)+79)='Configurações'!$B$5,DATE('Configurações'!$B$5,1,1)+79,"")</f>
        <v>46467</v>
      </c>
      <c r="B84" s="19">
        <f>A84</f>
        <v>46467</v>
      </c>
      <c r="C84" s="20" t="str">
        <f>IF(A84="","",IF(COUNTIF('Feriados'!$A$5:$A$84,A84)&gt;0,"Feriado",IF(WEEKDAY(A84,2)&gt;5,"Fim de semana","Dia útil")))</f>
        <v>Fim de semana</v>
      </c>
      <c r="D84" s="21"/>
      <c r="E84" s="21"/>
      <c r="F84" s="14"/>
      <c r="G84" s="13"/>
      <c r="H84" s="22">
        <f>IF(AND(ISNUMBER(D84),ISNUMBER(E84)),ROUND(MOD(E84-D84,1)*24-N(F84)/60,2),0)</f>
        <v>0</v>
      </c>
      <c r="I84" s="22">
        <f>IF(C84="Dia útil",'Configurações'!$B$6,0)</f>
        <v>0</v>
      </c>
      <c r="J84" s="22">
        <f>H84+IF(OR(G84="Férias",G84="Atestado médico",G84="Consulta médica",G84="Folga de banco de horas",G84="Viagem a trabalho"),I84,IF(G84="Meio dia de férias",I84/2,0))</f>
        <v>0</v>
      </c>
      <c r="K84" s="23">
        <f>IF(OR(H84&gt;0,G84&lt;&gt;""),J84-I84,0)</f>
        <v>0</v>
      </c>
      <c r="L84" s="13"/>
      <c r="M84" s="20">
        <f>IF(A84="","",MONTH(A84))</f>
        <v>3</v>
      </c>
    </row>
    <row r="85" spans="1:13" x14ac:dyDescent="0.25">
      <c r="A85" s="18">
        <f>IF(YEAR(DATE('Configurações'!$B$5,1,1)+80)='Configurações'!$B$5,DATE('Configurações'!$B$5,1,1)+80,"")</f>
        <v>46468</v>
      </c>
      <c r="B85" s="19">
        <f>A85</f>
        <v>46468</v>
      </c>
      <c r="C85" s="20" t="str">
        <f>IF(A85="","",IF(COUNTIF('Feriados'!$A$5:$A$84,A85)&gt;0,"Feriado",IF(WEEKDAY(A85,2)&gt;5,"Fim de semana","Dia útil")))</f>
        <v>Dia útil</v>
      </c>
      <c r="D85" s="21"/>
      <c r="E85" s="21"/>
      <c r="F85" s="14"/>
      <c r="G85" s="13"/>
      <c r="H85" s="22">
        <f>IF(AND(ISNUMBER(D85),ISNUMBER(E85)),ROUND(MOD(E85-D85,1)*24-N(F85)/60,2),0)</f>
        <v>0</v>
      </c>
      <c r="I85" s="22">
        <f>IF(C85="Dia útil",'Configurações'!$B$6,0)</f>
        <v>8</v>
      </c>
      <c r="J85" s="22">
        <f>H85+IF(OR(G85="Férias",G85="Atestado médico",G85="Consulta médica",G85="Folga de banco de horas",G85="Viagem a trabalho"),I85,IF(G85="Meio dia de férias",I85/2,0))</f>
        <v>0</v>
      </c>
      <c r="K85" s="23">
        <f>IF(OR(H85&gt;0,G85&lt;&gt;""),J85-I85,0)</f>
        <v>0</v>
      </c>
      <c r="L85" s="13"/>
      <c r="M85" s="20">
        <f>IF(A85="","",MONTH(A85))</f>
        <v>3</v>
      </c>
    </row>
    <row r="86" spans="1:13" x14ac:dyDescent="0.25">
      <c r="A86" s="18">
        <f>IF(YEAR(DATE('Configurações'!$B$5,1,1)+81)='Configurações'!$B$5,DATE('Configurações'!$B$5,1,1)+81,"")</f>
        <v>46469</v>
      </c>
      <c r="B86" s="19">
        <f>A86</f>
        <v>46469</v>
      </c>
      <c r="C86" s="20" t="str">
        <f>IF(A86="","",IF(COUNTIF('Feriados'!$A$5:$A$84,A86)&gt;0,"Feriado",IF(WEEKDAY(A86,2)&gt;5,"Fim de semana","Dia útil")))</f>
        <v>Dia útil</v>
      </c>
      <c r="D86" s="21"/>
      <c r="E86" s="21"/>
      <c r="F86" s="14"/>
      <c r="G86" s="13"/>
      <c r="H86" s="22">
        <f>IF(AND(ISNUMBER(D86),ISNUMBER(E86)),ROUND(MOD(E86-D86,1)*24-N(F86)/60,2),0)</f>
        <v>0</v>
      </c>
      <c r="I86" s="22">
        <f>IF(C86="Dia útil",'Configurações'!$B$6,0)</f>
        <v>8</v>
      </c>
      <c r="J86" s="22">
        <f>H86+IF(OR(G86="Férias",G86="Atestado médico",G86="Consulta médica",G86="Folga de banco de horas",G86="Viagem a trabalho"),I86,IF(G86="Meio dia de férias",I86/2,0))</f>
        <v>0</v>
      </c>
      <c r="K86" s="23">
        <f>IF(OR(H86&gt;0,G86&lt;&gt;""),J86-I86,0)</f>
        <v>0</v>
      </c>
      <c r="L86" s="13"/>
      <c r="M86" s="20">
        <f>IF(A86="","",MONTH(A86))</f>
        <v>3</v>
      </c>
    </row>
    <row r="87" spans="1:13" x14ac:dyDescent="0.25">
      <c r="A87" s="18">
        <f>IF(YEAR(DATE('Configurações'!$B$5,1,1)+82)='Configurações'!$B$5,DATE('Configurações'!$B$5,1,1)+82,"")</f>
        <v>46470</v>
      </c>
      <c r="B87" s="19">
        <f>A87</f>
        <v>46470</v>
      </c>
      <c r="C87" s="20" t="str">
        <f>IF(A87="","",IF(COUNTIF('Feriados'!$A$5:$A$84,A87)&gt;0,"Feriado",IF(WEEKDAY(A87,2)&gt;5,"Fim de semana","Dia útil")))</f>
        <v>Dia útil</v>
      </c>
      <c r="D87" s="21"/>
      <c r="E87" s="21"/>
      <c r="F87" s="14"/>
      <c r="G87" s="13"/>
      <c r="H87" s="22">
        <f>IF(AND(ISNUMBER(D87),ISNUMBER(E87)),ROUND(MOD(E87-D87,1)*24-N(F87)/60,2),0)</f>
        <v>0</v>
      </c>
      <c r="I87" s="22">
        <f>IF(C87="Dia útil",'Configurações'!$B$6,0)</f>
        <v>8</v>
      </c>
      <c r="J87" s="22">
        <f>H87+IF(OR(G87="Férias",G87="Atestado médico",G87="Consulta médica",G87="Folga de banco de horas",G87="Viagem a trabalho"),I87,IF(G87="Meio dia de férias",I87/2,0))</f>
        <v>0</v>
      </c>
      <c r="K87" s="23">
        <f>IF(OR(H87&gt;0,G87&lt;&gt;""),J87-I87,0)</f>
        <v>0</v>
      </c>
      <c r="L87" s="13"/>
      <c r="M87" s="20">
        <f>IF(A87="","",MONTH(A87))</f>
        <v>3</v>
      </c>
    </row>
    <row r="88" spans="1:13" x14ac:dyDescent="0.25">
      <c r="A88" s="18">
        <f>IF(YEAR(DATE('Configurações'!$B$5,1,1)+83)='Configurações'!$B$5,DATE('Configurações'!$B$5,1,1)+83,"")</f>
        <v>46471</v>
      </c>
      <c r="B88" s="19">
        <f>A88</f>
        <v>46471</v>
      </c>
      <c r="C88" s="20" t="str">
        <f>IF(A88="","",IF(COUNTIF('Feriados'!$A$5:$A$84,A88)&gt;0,"Feriado",IF(WEEKDAY(A88,2)&gt;5,"Fim de semana","Dia útil")))</f>
        <v>Dia útil</v>
      </c>
      <c r="D88" s="21"/>
      <c r="E88" s="21"/>
      <c r="F88" s="14"/>
      <c r="G88" s="13"/>
      <c r="H88" s="22">
        <f>IF(AND(ISNUMBER(D88),ISNUMBER(E88)),ROUND(MOD(E88-D88,1)*24-N(F88)/60,2),0)</f>
        <v>0</v>
      </c>
      <c r="I88" s="22">
        <f>IF(C88="Dia útil",'Configurações'!$B$6,0)</f>
        <v>8</v>
      </c>
      <c r="J88" s="22">
        <f>H88+IF(OR(G88="Férias",G88="Atestado médico",G88="Consulta médica",G88="Folga de banco de horas",G88="Viagem a trabalho"),I88,IF(G88="Meio dia de férias",I88/2,0))</f>
        <v>0</v>
      </c>
      <c r="K88" s="23">
        <f>IF(OR(H88&gt;0,G88&lt;&gt;""),J88-I88,0)</f>
        <v>0</v>
      </c>
      <c r="L88" s="13"/>
      <c r="M88" s="20">
        <f>IF(A88="","",MONTH(A88))</f>
        <v>3</v>
      </c>
    </row>
    <row r="89" spans="1:13" x14ac:dyDescent="0.25">
      <c r="A89" s="18">
        <f>IF(YEAR(DATE('Configurações'!$B$5,1,1)+84)='Configurações'!$B$5,DATE('Configurações'!$B$5,1,1)+84,"")</f>
        <v>46472</v>
      </c>
      <c r="B89" s="19">
        <f>A89</f>
        <v>46472</v>
      </c>
      <c r="C89" s="20" t="str">
        <f>IF(A89="","",IF(COUNTIF('Feriados'!$A$5:$A$84,A89)&gt;0,"Feriado",IF(WEEKDAY(A89,2)&gt;5,"Fim de semana","Dia útil")))</f>
        <v>Feriado</v>
      </c>
      <c r="D89" s="21"/>
      <c r="E89" s="21"/>
      <c r="F89" s="14"/>
      <c r="G89" s="13"/>
      <c r="H89" s="22">
        <f>IF(AND(ISNUMBER(D89),ISNUMBER(E89)),ROUND(MOD(E89-D89,1)*24-N(F89)/60,2),0)</f>
        <v>0</v>
      </c>
      <c r="I89" s="22">
        <f>IF(C89="Dia útil",'Configurações'!$B$6,0)</f>
        <v>0</v>
      </c>
      <c r="J89" s="22">
        <f>H89+IF(OR(G89="Férias",G89="Atestado médico",G89="Consulta médica",G89="Folga de banco de horas",G89="Viagem a trabalho"),I89,IF(G89="Meio dia de férias",I89/2,0))</f>
        <v>0</v>
      </c>
      <c r="K89" s="23">
        <f>IF(OR(H89&gt;0,G89&lt;&gt;""),J89-I89,0)</f>
        <v>0</v>
      </c>
      <c r="L89" s="13"/>
      <c r="M89" s="20">
        <f>IF(A89="","",MONTH(A89))</f>
        <v>3</v>
      </c>
    </row>
    <row r="90" spans="1:13" x14ac:dyDescent="0.25">
      <c r="A90" s="18">
        <f>IF(YEAR(DATE('Configurações'!$B$5,1,1)+85)='Configurações'!$B$5,DATE('Configurações'!$B$5,1,1)+85,"")</f>
        <v>46473</v>
      </c>
      <c r="B90" s="19">
        <f>A90</f>
        <v>46473</v>
      </c>
      <c r="C90" s="20" t="str">
        <f>IF(A90="","",IF(COUNTIF('Feriados'!$A$5:$A$84,A90)&gt;0,"Feriado",IF(WEEKDAY(A90,2)&gt;5,"Fim de semana","Dia útil")))</f>
        <v>Fim de semana</v>
      </c>
      <c r="D90" s="21"/>
      <c r="E90" s="21"/>
      <c r="F90" s="14"/>
      <c r="G90" s="13"/>
      <c r="H90" s="22">
        <f>IF(AND(ISNUMBER(D90),ISNUMBER(E90)),ROUND(MOD(E90-D90,1)*24-N(F90)/60,2),0)</f>
        <v>0</v>
      </c>
      <c r="I90" s="22">
        <f>IF(C90="Dia útil",'Configurações'!$B$6,0)</f>
        <v>0</v>
      </c>
      <c r="J90" s="22">
        <f>H90+IF(OR(G90="Férias",G90="Atestado médico",G90="Consulta médica",G90="Folga de banco de horas",G90="Viagem a trabalho"),I90,IF(G90="Meio dia de férias",I90/2,0))</f>
        <v>0</v>
      </c>
      <c r="K90" s="23">
        <f>IF(OR(H90&gt;0,G90&lt;&gt;""),J90-I90,0)</f>
        <v>0</v>
      </c>
      <c r="L90" s="13"/>
      <c r="M90" s="20">
        <f>IF(A90="","",MONTH(A90))</f>
        <v>3</v>
      </c>
    </row>
    <row r="91" spans="1:13" x14ac:dyDescent="0.25">
      <c r="A91" s="18">
        <f>IF(YEAR(DATE('Configurações'!$B$5,1,1)+86)='Configurações'!$B$5,DATE('Configurações'!$B$5,1,1)+86,"")</f>
        <v>46474</v>
      </c>
      <c r="B91" s="19">
        <f>A91</f>
        <v>46474</v>
      </c>
      <c r="C91" s="20" t="str">
        <f>IF(A91="","",IF(COUNTIF('Feriados'!$A$5:$A$84,A91)&gt;0,"Feriado",IF(WEEKDAY(A91,2)&gt;5,"Fim de semana","Dia útil")))</f>
        <v>Fim de semana</v>
      </c>
      <c r="D91" s="21"/>
      <c r="E91" s="21"/>
      <c r="F91" s="14"/>
      <c r="G91" s="13"/>
      <c r="H91" s="22">
        <f>IF(AND(ISNUMBER(D91),ISNUMBER(E91)),ROUND(MOD(E91-D91,1)*24-N(F91)/60,2),0)</f>
        <v>0</v>
      </c>
      <c r="I91" s="22">
        <f>IF(C91="Dia útil",'Configurações'!$B$6,0)</f>
        <v>0</v>
      </c>
      <c r="J91" s="22">
        <f>H91+IF(OR(G91="Férias",G91="Atestado médico",G91="Consulta médica",G91="Folga de banco de horas",G91="Viagem a trabalho"),I91,IF(G91="Meio dia de férias",I91/2,0))</f>
        <v>0</v>
      </c>
      <c r="K91" s="23">
        <f>IF(OR(H91&gt;0,G91&lt;&gt;""),J91-I91,0)</f>
        <v>0</v>
      </c>
      <c r="L91" s="13"/>
      <c r="M91" s="20">
        <f>IF(A91="","",MONTH(A91))</f>
        <v>3</v>
      </c>
    </row>
    <row r="92" spans="1:13" x14ac:dyDescent="0.25">
      <c r="A92" s="18">
        <f>IF(YEAR(DATE('Configurações'!$B$5,1,1)+87)='Configurações'!$B$5,DATE('Configurações'!$B$5,1,1)+87,"")</f>
        <v>46475</v>
      </c>
      <c r="B92" s="19">
        <f>A92</f>
        <v>46475</v>
      </c>
      <c r="C92" s="20" t="str">
        <f>IF(A92="","",IF(COUNTIF('Feriados'!$A$5:$A$84,A92)&gt;0,"Feriado",IF(WEEKDAY(A92,2)&gt;5,"Fim de semana","Dia útil")))</f>
        <v>Dia útil</v>
      </c>
      <c r="D92" s="21"/>
      <c r="E92" s="21"/>
      <c r="F92" s="14"/>
      <c r="G92" s="13"/>
      <c r="H92" s="22">
        <f>IF(AND(ISNUMBER(D92),ISNUMBER(E92)),ROUND(MOD(E92-D92,1)*24-N(F92)/60,2),0)</f>
        <v>0</v>
      </c>
      <c r="I92" s="22">
        <f>IF(C92="Dia útil",'Configurações'!$B$6,0)</f>
        <v>8</v>
      </c>
      <c r="J92" s="22">
        <f>H92+IF(OR(G92="Férias",G92="Atestado médico",G92="Consulta médica",G92="Folga de banco de horas",G92="Viagem a trabalho"),I92,IF(G92="Meio dia de férias",I92/2,0))</f>
        <v>0</v>
      </c>
      <c r="K92" s="23">
        <f>IF(OR(H92&gt;0,G92&lt;&gt;""),J92-I92,0)</f>
        <v>0</v>
      </c>
      <c r="L92" s="13"/>
      <c r="M92" s="20">
        <f>IF(A92="","",MONTH(A92))</f>
        <v>3</v>
      </c>
    </row>
    <row r="93" spans="1:13" x14ac:dyDescent="0.25">
      <c r="A93" s="18">
        <f>IF(YEAR(DATE('Configurações'!$B$5,1,1)+88)='Configurações'!$B$5,DATE('Configurações'!$B$5,1,1)+88,"")</f>
        <v>46476</v>
      </c>
      <c r="B93" s="19">
        <f>A93</f>
        <v>46476</v>
      </c>
      <c r="C93" s="20" t="str">
        <f>IF(A93="","",IF(COUNTIF('Feriados'!$A$5:$A$84,A93)&gt;0,"Feriado",IF(WEEKDAY(A93,2)&gt;5,"Fim de semana","Dia útil")))</f>
        <v>Dia útil</v>
      </c>
      <c r="D93" s="21"/>
      <c r="E93" s="21"/>
      <c r="F93" s="14"/>
      <c r="G93" s="13"/>
      <c r="H93" s="22">
        <f>IF(AND(ISNUMBER(D93),ISNUMBER(E93)),ROUND(MOD(E93-D93,1)*24-N(F93)/60,2),0)</f>
        <v>0</v>
      </c>
      <c r="I93" s="22">
        <f>IF(C93="Dia útil",'Configurações'!$B$6,0)</f>
        <v>8</v>
      </c>
      <c r="J93" s="22">
        <f>H93+IF(OR(G93="Férias",G93="Atestado médico",G93="Consulta médica",G93="Folga de banco de horas",G93="Viagem a trabalho"),I93,IF(G93="Meio dia de férias",I93/2,0))</f>
        <v>0</v>
      </c>
      <c r="K93" s="23">
        <f>IF(OR(H93&gt;0,G93&lt;&gt;""),J93-I93,0)</f>
        <v>0</v>
      </c>
      <c r="L93" s="13"/>
      <c r="M93" s="20">
        <f>IF(A93="","",MONTH(A93))</f>
        <v>3</v>
      </c>
    </row>
    <row r="94" spans="1:13" x14ac:dyDescent="0.25">
      <c r="A94" s="18">
        <f>IF(YEAR(DATE('Configurações'!$B$5,1,1)+89)='Configurações'!$B$5,DATE('Configurações'!$B$5,1,1)+89,"")</f>
        <v>46477</v>
      </c>
      <c r="B94" s="19">
        <f>A94</f>
        <v>46477</v>
      </c>
      <c r="C94" s="20" t="str">
        <f>IF(A94="","",IF(COUNTIF('Feriados'!$A$5:$A$84,A94)&gt;0,"Feriado",IF(WEEKDAY(A94,2)&gt;5,"Fim de semana","Dia útil")))</f>
        <v>Dia útil</v>
      </c>
      <c r="D94" s="21"/>
      <c r="E94" s="21"/>
      <c r="F94" s="14"/>
      <c r="G94" s="13"/>
      <c r="H94" s="22">
        <f>IF(AND(ISNUMBER(D94),ISNUMBER(E94)),ROUND(MOD(E94-D94,1)*24-N(F94)/60,2),0)</f>
        <v>0</v>
      </c>
      <c r="I94" s="22">
        <f>IF(C94="Dia útil",'Configurações'!$B$6,0)</f>
        <v>8</v>
      </c>
      <c r="J94" s="22">
        <f>H94+IF(OR(G94="Férias",G94="Atestado médico",G94="Consulta médica",G94="Folga de banco de horas",G94="Viagem a trabalho"),I94,IF(G94="Meio dia de férias",I94/2,0))</f>
        <v>0</v>
      </c>
      <c r="K94" s="23">
        <f>IF(OR(H94&gt;0,G94&lt;&gt;""),J94-I94,0)</f>
        <v>0</v>
      </c>
      <c r="L94" s="13"/>
      <c r="M94" s="20">
        <f>IF(A94="","",MONTH(A94))</f>
        <v>3</v>
      </c>
    </row>
    <row r="95" spans="1:13" x14ac:dyDescent="0.25">
      <c r="A95" s="18">
        <f>IF(YEAR(DATE('Configurações'!$B$5,1,1)+90)='Configurações'!$B$5,DATE('Configurações'!$B$5,1,1)+90,"")</f>
        <v>46478</v>
      </c>
      <c r="B95" s="19">
        <f>A95</f>
        <v>46478</v>
      </c>
      <c r="C95" s="20" t="str">
        <f>IF(A95="","",IF(COUNTIF('Feriados'!$A$5:$A$84,A95)&gt;0,"Feriado",IF(WEEKDAY(A95,2)&gt;5,"Fim de semana","Dia útil")))</f>
        <v>Dia útil</v>
      </c>
      <c r="D95" s="21"/>
      <c r="E95" s="21"/>
      <c r="F95" s="14"/>
      <c r="G95" s="13"/>
      <c r="H95" s="22">
        <f>IF(AND(ISNUMBER(D95),ISNUMBER(E95)),ROUND(MOD(E95-D95,1)*24-N(F95)/60,2),0)</f>
        <v>0</v>
      </c>
      <c r="I95" s="22">
        <f>IF(C95="Dia útil",'Configurações'!$B$6,0)</f>
        <v>8</v>
      </c>
      <c r="J95" s="22">
        <f>H95+IF(OR(G95="Férias",G95="Atestado médico",G95="Consulta médica",G95="Folga de banco de horas",G95="Viagem a trabalho"),I95,IF(G95="Meio dia de férias",I95/2,0))</f>
        <v>0</v>
      </c>
      <c r="K95" s="23">
        <f>IF(OR(H95&gt;0,G95&lt;&gt;""),J95-I95,0)</f>
        <v>0</v>
      </c>
      <c r="L95" s="13"/>
      <c r="M95" s="20">
        <f>IF(A95="","",MONTH(A95))</f>
        <v>4</v>
      </c>
    </row>
    <row r="96" spans="1:13" x14ac:dyDescent="0.25">
      <c r="A96" s="18">
        <f>IF(YEAR(DATE('Configurações'!$B$5,1,1)+91)='Configurações'!$B$5,DATE('Configurações'!$B$5,1,1)+91,"")</f>
        <v>46479</v>
      </c>
      <c r="B96" s="19">
        <f>A96</f>
        <v>46479</v>
      </c>
      <c r="C96" s="20" t="str">
        <f>IF(A96="","",IF(COUNTIF('Feriados'!$A$5:$A$84,A96)&gt;0,"Feriado",IF(WEEKDAY(A96,2)&gt;5,"Fim de semana","Dia útil")))</f>
        <v>Dia útil</v>
      </c>
      <c r="D96" s="21"/>
      <c r="E96" s="21"/>
      <c r="F96" s="14"/>
      <c r="G96" s="13"/>
      <c r="H96" s="22">
        <f>IF(AND(ISNUMBER(D96),ISNUMBER(E96)),ROUND(MOD(E96-D96,1)*24-N(F96)/60,2),0)</f>
        <v>0</v>
      </c>
      <c r="I96" s="22">
        <f>IF(C96="Dia útil",'Configurações'!$B$6,0)</f>
        <v>8</v>
      </c>
      <c r="J96" s="22">
        <f>H96+IF(OR(G96="Férias",G96="Atestado médico",G96="Consulta médica",G96="Folga de banco de horas",G96="Viagem a trabalho"),I96,IF(G96="Meio dia de férias",I96/2,0))</f>
        <v>0</v>
      </c>
      <c r="K96" s="23">
        <f>IF(OR(H96&gt;0,G96&lt;&gt;""),J96-I96,0)</f>
        <v>0</v>
      </c>
      <c r="L96" s="13"/>
      <c r="M96" s="20">
        <f>IF(A96="","",MONTH(A96))</f>
        <v>4</v>
      </c>
    </row>
    <row r="97" spans="1:13" x14ac:dyDescent="0.25">
      <c r="A97" s="18">
        <f>IF(YEAR(DATE('Configurações'!$B$5,1,1)+92)='Configurações'!$B$5,DATE('Configurações'!$B$5,1,1)+92,"")</f>
        <v>46480</v>
      </c>
      <c r="B97" s="19">
        <f>A97</f>
        <v>46480</v>
      </c>
      <c r="C97" s="20" t="str">
        <f>IF(A97="","",IF(COUNTIF('Feriados'!$A$5:$A$84,A97)&gt;0,"Feriado",IF(WEEKDAY(A97,2)&gt;5,"Fim de semana","Dia útil")))</f>
        <v>Fim de semana</v>
      </c>
      <c r="D97" s="21"/>
      <c r="E97" s="21"/>
      <c r="F97" s="14"/>
      <c r="G97" s="13"/>
      <c r="H97" s="22">
        <f>IF(AND(ISNUMBER(D97),ISNUMBER(E97)),ROUND(MOD(E97-D97,1)*24-N(F97)/60,2),0)</f>
        <v>0</v>
      </c>
      <c r="I97" s="22">
        <f>IF(C97="Dia útil",'Configurações'!$B$6,0)</f>
        <v>0</v>
      </c>
      <c r="J97" s="22">
        <f>H97+IF(OR(G97="Férias",G97="Atestado médico",G97="Consulta médica",G97="Folga de banco de horas",G97="Viagem a trabalho"),I97,IF(G97="Meio dia de férias",I97/2,0))</f>
        <v>0</v>
      </c>
      <c r="K97" s="23">
        <f>IF(OR(H97&gt;0,G97&lt;&gt;""),J97-I97,0)</f>
        <v>0</v>
      </c>
      <c r="L97" s="13"/>
      <c r="M97" s="20">
        <f>IF(A97="","",MONTH(A97))</f>
        <v>4</v>
      </c>
    </row>
    <row r="98" spans="1:13" x14ac:dyDescent="0.25">
      <c r="A98" s="18">
        <f>IF(YEAR(DATE('Configurações'!$B$5,1,1)+93)='Configurações'!$B$5,DATE('Configurações'!$B$5,1,1)+93,"")</f>
        <v>46481</v>
      </c>
      <c r="B98" s="19">
        <f>A98</f>
        <v>46481</v>
      </c>
      <c r="C98" s="20" t="str">
        <f>IF(A98="","",IF(COUNTIF('Feriados'!$A$5:$A$84,A98)&gt;0,"Feriado",IF(WEEKDAY(A98,2)&gt;5,"Fim de semana","Dia útil")))</f>
        <v>Fim de semana</v>
      </c>
      <c r="D98" s="21"/>
      <c r="E98" s="21"/>
      <c r="F98" s="14"/>
      <c r="G98" s="13"/>
      <c r="H98" s="22">
        <f>IF(AND(ISNUMBER(D98),ISNUMBER(E98)),ROUND(MOD(E98-D98,1)*24-N(F98)/60,2),0)</f>
        <v>0</v>
      </c>
      <c r="I98" s="22">
        <f>IF(C98="Dia útil",'Configurações'!$B$6,0)</f>
        <v>0</v>
      </c>
      <c r="J98" s="22">
        <f>H98+IF(OR(G98="Férias",G98="Atestado médico",G98="Consulta médica",G98="Folga de banco de horas",G98="Viagem a trabalho"),I98,IF(G98="Meio dia de férias",I98/2,0))</f>
        <v>0</v>
      </c>
      <c r="K98" s="23">
        <f>IF(OR(H98&gt;0,G98&lt;&gt;""),J98-I98,0)</f>
        <v>0</v>
      </c>
      <c r="L98" s="13"/>
      <c r="M98" s="20">
        <f>IF(A98="","",MONTH(A98))</f>
        <v>4</v>
      </c>
    </row>
    <row r="99" spans="1:13" x14ac:dyDescent="0.25">
      <c r="A99" s="18">
        <f>IF(YEAR(DATE('Configurações'!$B$5,1,1)+94)='Configurações'!$B$5,DATE('Configurações'!$B$5,1,1)+94,"")</f>
        <v>46482</v>
      </c>
      <c r="B99" s="19">
        <f>A99</f>
        <v>46482</v>
      </c>
      <c r="C99" s="20" t="str">
        <f>IF(A99="","",IF(COUNTIF('Feriados'!$A$5:$A$84,A99)&gt;0,"Feriado",IF(WEEKDAY(A99,2)&gt;5,"Fim de semana","Dia útil")))</f>
        <v>Dia útil</v>
      </c>
      <c r="D99" s="21"/>
      <c r="E99" s="21"/>
      <c r="F99" s="14"/>
      <c r="G99" s="13"/>
      <c r="H99" s="22">
        <f>IF(AND(ISNUMBER(D99),ISNUMBER(E99)),ROUND(MOD(E99-D99,1)*24-N(F99)/60,2),0)</f>
        <v>0</v>
      </c>
      <c r="I99" s="22">
        <f>IF(C99="Dia útil",'Configurações'!$B$6,0)</f>
        <v>8</v>
      </c>
      <c r="J99" s="22">
        <f>H99+IF(OR(G99="Férias",G99="Atestado médico",G99="Consulta médica",G99="Folga de banco de horas",G99="Viagem a trabalho"),I99,IF(G99="Meio dia de férias",I99/2,0))</f>
        <v>0</v>
      </c>
      <c r="K99" s="23">
        <f>IF(OR(H99&gt;0,G99&lt;&gt;""),J99-I99,0)</f>
        <v>0</v>
      </c>
      <c r="L99" s="13"/>
      <c r="M99" s="20">
        <f>IF(A99="","",MONTH(A99))</f>
        <v>4</v>
      </c>
    </row>
    <row r="100" spans="1:13" x14ac:dyDescent="0.25">
      <c r="A100" s="18">
        <f>IF(YEAR(DATE('Configurações'!$B$5,1,1)+95)='Configurações'!$B$5,DATE('Configurações'!$B$5,1,1)+95,"")</f>
        <v>46483</v>
      </c>
      <c r="B100" s="19">
        <f>A100</f>
        <v>46483</v>
      </c>
      <c r="C100" s="20" t="str">
        <f>IF(A100="","",IF(COUNTIF('Feriados'!$A$5:$A$84,A100)&gt;0,"Feriado",IF(WEEKDAY(A100,2)&gt;5,"Fim de semana","Dia útil")))</f>
        <v>Dia útil</v>
      </c>
      <c r="D100" s="21"/>
      <c r="E100" s="21"/>
      <c r="F100" s="14"/>
      <c r="G100" s="13"/>
      <c r="H100" s="22">
        <f>IF(AND(ISNUMBER(D100),ISNUMBER(E100)),ROUND(MOD(E100-D100,1)*24-N(F100)/60,2),0)</f>
        <v>0</v>
      </c>
      <c r="I100" s="22">
        <f>IF(C100="Dia útil",'Configurações'!$B$6,0)</f>
        <v>8</v>
      </c>
      <c r="J100" s="22">
        <f>H100+IF(OR(G100="Férias",G100="Atestado médico",G100="Consulta médica",G100="Folga de banco de horas",G100="Viagem a trabalho"),I100,IF(G100="Meio dia de férias",I100/2,0))</f>
        <v>0</v>
      </c>
      <c r="K100" s="23">
        <f>IF(OR(H100&gt;0,G100&lt;&gt;""),J100-I100,0)</f>
        <v>0</v>
      </c>
      <c r="L100" s="13"/>
      <c r="M100" s="20">
        <f>IF(A100="","",MONTH(A100))</f>
        <v>4</v>
      </c>
    </row>
    <row r="101" spans="1:13" x14ac:dyDescent="0.25">
      <c r="A101" s="18">
        <f>IF(YEAR(DATE('Configurações'!$B$5,1,1)+96)='Configurações'!$B$5,DATE('Configurações'!$B$5,1,1)+96,"")</f>
        <v>46484</v>
      </c>
      <c r="B101" s="19">
        <f>A101</f>
        <v>46484</v>
      </c>
      <c r="C101" s="20" t="str">
        <f>IF(A101="","",IF(COUNTIF('Feriados'!$A$5:$A$84,A101)&gt;0,"Feriado",IF(WEEKDAY(A101,2)&gt;5,"Fim de semana","Dia útil")))</f>
        <v>Dia útil</v>
      </c>
      <c r="D101" s="21"/>
      <c r="E101" s="21"/>
      <c r="F101" s="14"/>
      <c r="G101" s="13"/>
      <c r="H101" s="22">
        <f>IF(AND(ISNUMBER(D101),ISNUMBER(E101)),ROUND(MOD(E101-D101,1)*24-N(F101)/60,2),0)</f>
        <v>0</v>
      </c>
      <c r="I101" s="22">
        <f>IF(C101="Dia útil",'Configurações'!$B$6,0)</f>
        <v>8</v>
      </c>
      <c r="J101" s="22">
        <f>H101+IF(OR(G101="Férias",G101="Atestado médico",G101="Consulta médica",G101="Folga de banco de horas",G101="Viagem a trabalho"),I101,IF(G101="Meio dia de férias",I101/2,0))</f>
        <v>0</v>
      </c>
      <c r="K101" s="23">
        <f>IF(OR(H101&gt;0,G101&lt;&gt;""),J101-I101,0)</f>
        <v>0</v>
      </c>
      <c r="L101" s="13"/>
      <c r="M101" s="20">
        <f>IF(A101="","",MONTH(A101))</f>
        <v>4</v>
      </c>
    </row>
    <row r="102" spans="1:13" x14ac:dyDescent="0.25">
      <c r="A102" s="18">
        <f>IF(YEAR(DATE('Configurações'!$B$5,1,1)+97)='Configurações'!$B$5,DATE('Configurações'!$B$5,1,1)+97,"")</f>
        <v>46485</v>
      </c>
      <c r="B102" s="19">
        <f>A102</f>
        <v>46485</v>
      </c>
      <c r="C102" s="20" t="str">
        <f>IF(A102="","",IF(COUNTIF('Feriados'!$A$5:$A$84,A102)&gt;0,"Feriado",IF(WEEKDAY(A102,2)&gt;5,"Fim de semana","Dia útil")))</f>
        <v>Dia útil</v>
      </c>
      <c r="D102" s="21"/>
      <c r="E102" s="21"/>
      <c r="F102" s="14"/>
      <c r="G102" s="13"/>
      <c r="H102" s="22">
        <f>IF(AND(ISNUMBER(D102),ISNUMBER(E102)),ROUND(MOD(E102-D102,1)*24-N(F102)/60,2),0)</f>
        <v>0</v>
      </c>
      <c r="I102" s="22">
        <f>IF(C102="Dia útil",'Configurações'!$B$6,0)</f>
        <v>8</v>
      </c>
      <c r="J102" s="22">
        <f>H102+IF(OR(G102="Férias",G102="Atestado médico",G102="Consulta médica",G102="Folga de banco de horas",G102="Viagem a trabalho"),I102,IF(G102="Meio dia de férias",I102/2,0))</f>
        <v>0</v>
      </c>
      <c r="K102" s="23">
        <f>IF(OR(H102&gt;0,G102&lt;&gt;""),J102-I102,0)</f>
        <v>0</v>
      </c>
      <c r="L102" s="13"/>
      <c r="M102" s="20">
        <f>IF(A102="","",MONTH(A102))</f>
        <v>4</v>
      </c>
    </row>
    <row r="103" spans="1:13" x14ac:dyDescent="0.25">
      <c r="A103" s="18">
        <f>IF(YEAR(DATE('Configurações'!$B$5,1,1)+98)='Configurações'!$B$5,DATE('Configurações'!$B$5,1,1)+98,"")</f>
        <v>46486</v>
      </c>
      <c r="B103" s="19">
        <f>A103</f>
        <v>46486</v>
      </c>
      <c r="C103" s="20" t="str">
        <f>IF(A103="","",IF(COUNTIF('Feriados'!$A$5:$A$84,A103)&gt;0,"Feriado",IF(WEEKDAY(A103,2)&gt;5,"Fim de semana","Dia útil")))</f>
        <v>Dia útil</v>
      </c>
      <c r="D103" s="21"/>
      <c r="E103" s="21"/>
      <c r="F103" s="14"/>
      <c r="G103" s="13"/>
      <c r="H103" s="22">
        <f>IF(AND(ISNUMBER(D103),ISNUMBER(E103)),ROUND(MOD(E103-D103,1)*24-N(F103)/60,2),0)</f>
        <v>0</v>
      </c>
      <c r="I103" s="22">
        <f>IF(C103="Dia útil",'Configurações'!$B$6,0)</f>
        <v>8</v>
      </c>
      <c r="J103" s="22">
        <f>H103+IF(OR(G103="Férias",G103="Atestado médico",G103="Consulta médica",G103="Folga de banco de horas",G103="Viagem a trabalho"),I103,IF(G103="Meio dia de férias",I103/2,0))</f>
        <v>0</v>
      </c>
      <c r="K103" s="23">
        <f>IF(OR(H103&gt;0,G103&lt;&gt;""),J103-I103,0)</f>
        <v>0</v>
      </c>
      <c r="L103" s="13"/>
      <c r="M103" s="20">
        <f>IF(A103="","",MONTH(A103))</f>
        <v>4</v>
      </c>
    </row>
    <row r="104" spans="1:13" x14ac:dyDescent="0.25">
      <c r="A104" s="18">
        <f>IF(YEAR(DATE('Configurações'!$B$5,1,1)+99)='Configurações'!$B$5,DATE('Configurações'!$B$5,1,1)+99,"")</f>
        <v>46487</v>
      </c>
      <c r="B104" s="19">
        <f>A104</f>
        <v>46487</v>
      </c>
      <c r="C104" s="20" t="str">
        <f>IF(A104="","",IF(COUNTIF('Feriados'!$A$5:$A$84,A104)&gt;0,"Feriado",IF(WEEKDAY(A104,2)&gt;5,"Fim de semana","Dia útil")))</f>
        <v>Fim de semana</v>
      </c>
      <c r="D104" s="21"/>
      <c r="E104" s="21"/>
      <c r="F104" s="14"/>
      <c r="G104" s="13"/>
      <c r="H104" s="22">
        <f>IF(AND(ISNUMBER(D104),ISNUMBER(E104)),ROUND(MOD(E104-D104,1)*24-N(F104)/60,2),0)</f>
        <v>0</v>
      </c>
      <c r="I104" s="22">
        <f>IF(C104="Dia útil",'Configurações'!$B$6,0)</f>
        <v>0</v>
      </c>
      <c r="J104" s="22">
        <f>H104+IF(OR(G104="Férias",G104="Atestado médico",G104="Consulta médica",G104="Folga de banco de horas",G104="Viagem a trabalho"),I104,IF(G104="Meio dia de férias",I104/2,0))</f>
        <v>0</v>
      </c>
      <c r="K104" s="23">
        <f>IF(OR(H104&gt;0,G104&lt;&gt;""),J104-I104,0)</f>
        <v>0</v>
      </c>
      <c r="L104" s="13"/>
      <c r="M104" s="20">
        <f>IF(A104="","",MONTH(A104))</f>
        <v>4</v>
      </c>
    </row>
    <row r="105" spans="1:13" x14ac:dyDescent="0.25">
      <c r="A105" s="18">
        <f>IF(YEAR(DATE('Configurações'!$B$5,1,1)+100)='Configurações'!$B$5,DATE('Configurações'!$B$5,1,1)+100,"")</f>
        <v>46488</v>
      </c>
      <c r="B105" s="19">
        <f>A105</f>
        <v>46488</v>
      </c>
      <c r="C105" s="20" t="str">
        <f>IF(A105="","",IF(COUNTIF('Feriados'!$A$5:$A$84,A105)&gt;0,"Feriado",IF(WEEKDAY(A105,2)&gt;5,"Fim de semana","Dia útil")))</f>
        <v>Fim de semana</v>
      </c>
      <c r="D105" s="21"/>
      <c r="E105" s="21"/>
      <c r="F105" s="14"/>
      <c r="G105" s="13"/>
      <c r="H105" s="22">
        <f>IF(AND(ISNUMBER(D105),ISNUMBER(E105)),ROUND(MOD(E105-D105,1)*24-N(F105)/60,2),0)</f>
        <v>0</v>
      </c>
      <c r="I105" s="22">
        <f>IF(C105="Dia útil",'Configurações'!$B$6,0)</f>
        <v>0</v>
      </c>
      <c r="J105" s="22">
        <f>H105+IF(OR(G105="Férias",G105="Atestado médico",G105="Consulta médica",G105="Folga de banco de horas",G105="Viagem a trabalho"),I105,IF(G105="Meio dia de férias",I105/2,0))</f>
        <v>0</v>
      </c>
      <c r="K105" s="23">
        <f>IF(OR(H105&gt;0,G105&lt;&gt;""),J105-I105,0)</f>
        <v>0</v>
      </c>
      <c r="L105" s="13"/>
      <c r="M105" s="20">
        <f>IF(A105="","",MONTH(A105))</f>
        <v>4</v>
      </c>
    </row>
    <row r="106" spans="1:13" x14ac:dyDescent="0.25">
      <c r="A106" s="18">
        <f>IF(YEAR(DATE('Configurações'!$B$5,1,1)+101)='Configurações'!$B$5,DATE('Configurações'!$B$5,1,1)+101,"")</f>
        <v>46489</v>
      </c>
      <c r="B106" s="19">
        <f>A106</f>
        <v>46489</v>
      </c>
      <c r="C106" s="20" t="str">
        <f>IF(A106="","",IF(COUNTIF('Feriados'!$A$5:$A$84,A106)&gt;0,"Feriado",IF(WEEKDAY(A106,2)&gt;5,"Fim de semana","Dia útil")))</f>
        <v>Dia útil</v>
      </c>
      <c r="D106" s="21"/>
      <c r="E106" s="21"/>
      <c r="F106" s="14"/>
      <c r="G106" s="13"/>
      <c r="H106" s="22">
        <f>IF(AND(ISNUMBER(D106),ISNUMBER(E106)),ROUND(MOD(E106-D106,1)*24-N(F106)/60,2),0)</f>
        <v>0</v>
      </c>
      <c r="I106" s="22">
        <f>IF(C106="Dia útil",'Configurações'!$B$6,0)</f>
        <v>8</v>
      </c>
      <c r="J106" s="22">
        <f>H106+IF(OR(G106="Férias",G106="Atestado médico",G106="Consulta médica",G106="Folga de banco de horas",G106="Viagem a trabalho"),I106,IF(G106="Meio dia de férias",I106/2,0))</f>
        <v>0</v>
      </c>
      <c r="K106" s="23">
        <f>IF(OR(H106&gt;0,G106&lt;&gt;""),J106-I106,0)</f>
        <v>0</v>
      </c>
      <c r="L106" s="13"/>
      <c r="M106" s="20">
        <f>IF(A106="","",MONTH(A106))</f>
        <v>4</v>
      </c>
    </row>
    <row r="107" spans="1:13" x14ac:dyDescent="0.25">
      <c r="A107" s="18">
        <f>IF(YEAR(DATE('Configurações'!$B$5,1,1)+102)='Configurações'!$B$5,DATE('Configurações'!$B$5,1,1)+102,"")</f>
        <v>46490</v>
      </c>
      <c r="B107" s="19">
        <f>A107</f>
        <v>46490</v>
      </c>
      <c r="C107" s="20" t="str">
        <f>IF(A107="","",IF(COUNTIF('Feriados'!$A$5:$A$84,A107)&gt;0,"Feriado",IF(WEEKDAY(A107,2)&gt;5,"Fim de semana","Dia útil")))</f>
        <v>Dia útil</v>
      </c>
      <c r="D107" s="21"/>
      <c r="E107" s="21"/>
      <c r="F107" s="14"/>
      <c r="G107" s="13"/>
      <c r="H107" s="22">
        <f>IF(AND(ISNUMBER(D107),ISNUMBER(E107)),ROUND(MOD(E107-D107,1)*24-N(F107)/60,2),0)</f>
        <v>0</v>
      </c>
      <c r="I107" s="22">
        <f>IF(C107="Dia útil",'Configurações'!$B$6,0)</f>
        <v>8</v>
      </c>
      <c r="J107" s="22">
        <f>H107+IF(OR(G107="Férias",G107="Atestado médico",G107="Consulta médica",G107="Folga de banco de horas",G107="Viagem a trabalho"),I107,IF(G107="Meio dia de férias",I107/2,0))</f>
        <v>0</v>
      </c>
      <c r="K107" s="23">
        <f>IF(OR(H107&gt;0,G107&lt;&gt;""),J107-I107,0)</f>
        <v>0</v>
      </c>
      <c r="L107" s="13"/>
      <c r="M107" s="20">
        <f>IF(A107="","",MONTH(A107))</f>
        <v>4</v>
      </c>
    </row>
    <row r="108" spans="1:13" x14ac:dyDescent="0.25">
      <c r="A108" s="18">
        <f>IF(YEAR(DATE('Configurações'!$B$5,1,1)+103)='Configurações'!$B$5,DATE('Configurações'!$B$5,1,1)+103,"")</f>
        <v>46491</v>
      </c>
      <c r="B108" s="19">
        <f>A108</f>
        <v>46491</v>
      </c>
      <c r="C108" s="20" t="str">
        <f>IF(A108="","",IF(COUNTIF('Feriados'!$A$5:$A$84,A108)&gt;0,"Feriado",IF(WEEKDAY(A108,2)&gt;5,"Fim de semana","Dia útil")))</f>
        <v>Dia útil</v>
      </c>
      <c r="D108" s="21"/>
      <c r="E108" s="21"/>
      <c r="F108" s="14"/>
      <c r="G108" s="13"/>
      <c r="H108" s="22">
        <f>IF(AND(ISNUMBER(D108),ISNUMBER(E108)),ROUND(MOD(E108-D108,1)*24-N(F108)/60,2),0)</f>
        <v>0</v>
      </c>
      <c r="I108" s="22">
        <f>IF(C108="Dia útil",'Configurações'!$B$6,0)</f>
        <v>8</v>
      </c>
      <c r="J108" s="22">
        <f>H108+IF(OR(G108="Férias",G108="Atestado médico",G108="Consulta médica",G108="Folga de banco de horas",G108="Viagem a trabalho"),I108,IF(G108="Meio dia de férias",I108/2,0))</f>
        <v>0</v>
      </c>
      <c r="K108" s="23">
        <f>IF(OR(H108&gt;0,G108&lt;&gt;""),J108-I108,0)</f>
        <v>0</v>
      </c>
      <c r="L108" s="13"/>
      <c r="M108" s="20">
        <f>IF(A108="","",MONTH(A108))</f>
        <v>4</v>
      </c>
    </row>
    <row r="109" spans="1:13" x14ac:dyDescent="0.25">
      <c r="A109" s="18">
        <f>IF(YEAR(DATE('Configurações'!$B$5,1,1)+104)='Configurações'!$B$5,DATE('Configurações'!$B$5,1,1)+104,"")</f>
        <v>46492</v>
      </c>
      <c r="B109" s="19">
        <f>A109</f>
        <v>46492</v>
      </c>
      <c r="C109" s="20" t="str">
        <f>IF(A109="","",IF(COUNTIF('Feriados'!$A$5:$A$84,A109)&gt;0,"Feriado",IF(WEEKDAY(A109,2)&gt;5,"Fim de semana","Dia útil")))</f>
        <v>Dia útil</v>
      </c>
      <c r="D109" s="21"/>
      <c r="E109" s="21"/>
      <c r="F109" s="14"/>
      <c r="G109" s="13"/>
      <c r="H109" s="22">
        <f>IF(AND(ISNUMBER(D109),ISNUMBER(E109)),ROUND(MOD(E109-D109,1)*24-N(F109)/60,2),0)</f>
        <v>0</v>
      </c>
      <c r="I109" s="22">
        <f>IF(C109="Dia útil",'Configurações'!$B$6,0)</f>
        <v>8</v>
      </c>
      <c r="J109" s="22">
        <f>H109+IF(OR(G109="Férias",G109="Atestado médico",G109="Consulta médica",G109="Folga de banco de horas",G109="Viagem a trabalho"),I109,IF(G109="Meio dia de férias",I109/2,0))</f>
        <v>0</v>
      </c>
      <c r="K109" s="23">
        <f>IF(OR(H109&gt;0,G109&lt;&gt;""),J109-I109,0)</f>
        <v>0</v>
      </c>
      <c r="L109" s="13"/>
      <c r="M109" s="20">
        <f>IF(A109="","",MONTH(A109))</f>
        <v>4</v>
      </c>
    </row>
    <row r="110" spans="1:13" x14ac:dyDescent="0.25">
      <c r="A110" s="18">
        <f>IF(YEAR(DATE('Configurações'!$B$5,1,1)+105)='Configurações'!$B$5,DATE('Configurações'!$B$5,1,1)+105,"")</f>
        <v>46493</v>
      </c>
      <c r="B110" s="19">
        <f>A110</f>
        <v>46493</v>
      </c>
      <c r="C110" s="20" t="str">
        <f>IF(A110="","",IF(COUNTIF('Feriados'!$A$5:$A$84,A110)&gt;0,"Feriado",IF(WEEKDAY(A110,2)&gt;5,"Fim de semana","Dia útil")))</f>
        <v>Dia útil</v>
      </c>
      <c r="D110" s="21"/>
      <c r="E110" s="21"/>
      <c r="F110" s="14"/>
      <c r="G110" s="13"/>
      <c r="H110" s="22">
        <f>IF(AND(ISNUMBER(D110),ISNUMBER(E110)),ROUND(MOD(E110-D110,1)*24-N(F110)/60,2),0)</f>
        <v>0</v>
      </c>
      <c r="I110" s="22">
        <f>IF(C110="Dia útil",'Configurações'!$B$6,0)</f>
        <v>8</v>
      </c>
      <c r="J110" s="22">
        <f>H110+IF(OR(G110="Férias",G110="Atestado médico",G110="Consulta médica",G110="Folga de banco de horas",G110="Viagem a trabalho"),I110,IF(G110="Meio dia de férias",I110/2,0))</f>
        <v>0</v>
      </c>
      <c r="K110" s="23">
        <f>IF(OR(H110&gt;0,G110&lt;&gt;""),J110-I110,0)</f>
        <v>0</v>
      </c>
      <c r="L110" s="13"/>
      <c r="M110" s="20">
        <f>IF(A110="","",MONTH(A110))</f>
        <v>4</v>
      </c>
    </row>
    <row r="111" spans="1:13" x14ac:dyDescent="0.25">
      <c r="A111" s="18">
        <f>IF(YEAR(DATE('Configurações'!$B$5,1,1)+106)='Configurações'!$B$5,DATE('Configurações'!$B$5,1,1)+106,"")</f>
        <v>46494</v>
      </c>
      <c r="B111" s="19">
        <f>A111</f>
        <v>46494</v>
      </c>
      <c r="C111" s="20" t="str">
        <f>IF(A111="","",IF(COUNTIF('Feriados'!$A$5:$A$84,A111)&gt;0,"Feriado",IF(WEEKDAY(A111,2)&gt;5,"Fim de semana","Dia útil")))</f>
        <v>Fim de semana</v>
      </c>
      <c r="D111" s="21"/>
      <c r="E111" s="21"/>
      <c r="F111" s="14"/>
      <c r="G111" s="13"/>
      <c r="H111" s="22">
        <f>IF(AND(ISNUMBER(D111),ISNUMBER(E111)),ROUND(MOD(E111-D111,1)*24-N(F111)/60,2),0)</f>
        <v>0</v>
      </c>
      <c r="I111" s="22">
        <f>IF(C111="Dia útil",'Configurações'!$B$6,0)</f>
        <v>0</v>
      </c>
      <c r="J111" s="22">
        <f>H111+IF(OR(G111="Férias",G111="Atestado médico",G111="Consulta médica",G111="Folga de banco de horas",G111="Viagem a trabalho"),I111,IF(G111="Meio dia de férias",I111/2,0))</f>
        <v>0</v>
      </c>
      <c r="K111" s="23">
        <f>IF(OR(H111&gt;0,G111&lt;&gt;""),J111-I111,0)</f>
        <v>0</v>
      </c>
      <c r="L111" s="13"/>
      <c r="M111" s="20">
        <f>IF(A111="","",MONTH(A111))</f>
        <v>4</v>
      </c>
    </row>
    <row r="112" spans="1:13" x14ac:dyDescent="0.25">
      <c r="A112" s="18">
        <f>IF(YEAR(DATE('Configurações'!$B$5,1,1)+107)='Configurações'!$B$5,DATE('Configurações'!$B$5,1,1)+107,"")</f>
        <v>46495</v>
      </c>
      <c r="B112" s="19">
        <f>A112</f>
        <v>46495</v>
      </c>
      <c r="C112" s="20" t="str">
        <f>IF(A112="","",IF(COUNTIF('Feriados'!$A$5:$A$84,A112)&gt;0,"Feriado",IF(WEEKDAY(A112,2)&gt;5,"Fim de semana","Dia útil")))</f>
        <v>Fim de semana</v>
      </c>
      <c r="D112" s="21"/>
      <c r="E112" s="21"/>
      <c r="F112" s="14"/>
      <c r="G112" s="13"/>
      <c r="H112" s="22">
        <f>IF(AND(ISNUMBER(D112),ISNUMBER(E112)),ROUND(MOD(E112-D112,1)*24-N(F112)/60,2),0)</f>
        <v>0</v>
      </c>
      <c r="I112" s="22">
        <f>IF(C112="Dia útil",'Configurações'!$B$6,0)</f>
        <v>0</v>
      </c>
      <c r="J112" s="22">
        <f>H112+IF(OR(G112="Férias",G112="Atestado médico",G112="Consulta médica",G112="Folga de banco de horas",G112="Viagem a trabalho"),I112,IF(G112="Meio dia de férias",I112/2,0))</f>
        <v>0</v>
      </c>
      <c r="K112" s="23">
        <f>IF(OR(H112&gt;0,G112&lt;&gt;""),J112-I112,0)</f>
        <v>0</v>
      </c>
      <c r="L112" s="13"/>
      <c r="M112" s="20">
        <f>IF(A112="","",MONTH(A112))</f>
        <v>4</v>
      </c>
    </row>
    <row r="113" spans="1:13" x14ac:dyDescent="0.25">
      <c r="A113" s="18">
        <f>IF(YEAR(DATE('Configurações'!$B$5,1,1)+108)='Configurações'!$B$5,DATE('Configurações'!$B$5,1,1)+108,"")</f>
        <v>46496</v>
      </c>
      <c r="B113" s="19">
        <f>A113</f>
        <v>46496</v>
      </c>
      <c r="C113" s="20" t="str">
        <f>IF(A113="","",IF(COUNTIF('Feriados'!$A$5:$A$84,A113)&gt;0,"Feriado",IF(WEEKDAY(A113,2)&gt;5,"Fim de semana","Dia útil")))</f>
        <v>Dia útil</v>
      </c>
      <c r="D113" s="21"/>
      <c r="E113" s="21"/>
      <c r="F113" s="14"/>
      <c r="G113" s="13"/>
      <c r="H113" s="22">
        <f>IF(AND(ISNUMBER(D113),ISNUMBER(E113)),ROUND(MOD(E113-D113,1)*24-N(F113)/60,2),0)</f>
        <v>0</v>
      </c>
      <c r="I113" s="22">
        <f>IF(C113="Dia útil",'Configurações'!$B$6,0)</f>
        <v>8</v>
      </c>
      <c r="J113" s="22">
        <f>H113+IF(OR(G113="Férias",G113="Atestado médico",G113="Consulta médica",G113="Folga de banco de horas",G113="Viagem a trabalho"),I113,IF(G113="Meio dia de férias",I113/2,0))</f>
        <v>0</v>
      </c>
      <c r="K113" s="23">
        <f>IF(OR(H113&gt;0,G113&lt;&gt;""),J113-I113,0)</f>
        <v>0</v>
      </c>
      <c r="L113" s="13"/>
      <c r="M113" s="20">
        <f>IF(A113="","",MONTH(A113))</f>
        <v>4</v>
      </c>
    </row>
    <row r="114" spans="1:13" x14ac:dyDescent="0.25">
      <c r="A114" s="18">
        <f>IF(YEAR(DATE('Configurações'!$B$5,1,1)+109)='Configurações'!$B$5,DATE('Configurações'!$B$5,1,1)+109,"")</f>
        <v>46497</v>
      </c>
      <c r="B114" s="19">
        <f>A114</f>
        <v>46497</v>
      </c>
      <c r="C114" s="20" t="str">
        <f>IF(A114="","",IF(COUNTIF('Feriados'!$A$5:$A$84,A114)&gt;0,"Feriado",IF(WEEKDAY(A114,2)&gt;5,"Fim de semana","Dia útil")))</f>
        <v>Dia útil</v>
      </c>
      <c r="D114" s="21"/>
      <c r="E114" s="21"/>
      <c r="F114" s="14"/>
      <c r="G114" s="13"/>
      <c r="H114" s="22">
        <f>IF(AND(ISNUMBER(D114),ISNUMBER(E114)),ROUND(MOD(E114-D114,1)*24-N(F114)/60,2),0)</f>
        <v>0</v>
      </c>
      <c r="I114" s="22">
        <f>IF(C114="Dia útil",'Configurações'!$B$6,0)</f>
        <v>8</v>
      </c>
      <c r="J114" s="22">
        <f>H114+IF(OR(G114="Férias",G114="Atestado médico",G114="Consulta médica",G114="Folga de banco de horas",G114="Viagem a trabalho"),I114,IF(G114="Meio dia de férias",I114/2,0))</f>
        <v>0</v>
      </c>
      <c r="K114" s="23">
        <f>IF(OR(H114&gt;0,G114&lt;&gt;""),J114-I114,0)</f>
        <v>0</v>
      </c>
      <c r="L114" s="13"/>
      <c r="M114" s="20">
        <f>IF(A114="","",MONTH(A114))</f>
        <v>4</v>
      </c>
    </row>
    <row r="115" spans="1:13" x14ac:dyDescent="0.25">
      <c r="A115" s="18">
        <f>IF(YEAR(DATE('Configurações'!$B$5,1,1)+110)='Configurações'!$B$5,DATE('Configurações'!$B$5,1,1)+110,"")</f>
        <v>46498</v>
      </c>
      <c r="B115" s="19">
        <f>A115</f>
        <v>46498</v>
      </c>
      <c r="C115" s="20" t="str">
        <f>IF(A115="","",IF(COUNTIF('Feriados'!$A$5:$A$84,A115)&gt;0,"Feriado",IF(WEEKDAY(A115,2)&gt;5,"Fim de semana","Dia útil")))</f>
        <v>Feriado</v>
      </c>
      <c r="D115" s="21"/>
      <c r="E115" s="21"/>
      <c r="F115" s="14"/>
      <c r="G115" s="13"/>
      <c r="H115" s="22">
        <f>IF(AND(ISNUMBER(D115),ISNUMBER(E115)),ROUND(MOD(E115-D115,1)*24-N(F115)/60,2),0)</f>
        <v>0</v>
      </c>
      <c r="I115" s="22">
        <f>IF(C115="Dia útil",'Configurações'!$B$6,0)</f>
        <v>0</v>
      </c>
      <c r="J115" s="22">
        <f>H115+IF(OR(G115="Férias",G115="Atestado médico",G115="Consulta médica",G115="Folga de banco de horas",G115="Viagem a trabalho"),I115,IF(G115="Meio dia de férias",I115/2,0))</f>
        <v>0</v>
      </c>
      <c r="K115" s="23">
        <f>IF(OR(H115&gt;0,G115&lt;&gt;""),J115-I115,0)</f>
        <v>0</v>
      </c>
      <c r="L115" s="13"/>
      <c r="M115" s="20">
        <f>IF(A115="","",MONTH(A115))</f>
        <v>4</v>
      </c>
    </row>
    <row r="116" spans="1:13" x14ac:dyDescent="0.25">
      <c r="A116" s="18">
        <f>IF(YEAR(DATE('Configurações'!$B$5,1,1)+111)='Configurações'!$B$5,DATE('Configurações'!$B$5,1,1)+111,"")</f>
        <v>46499</v>
      </c>
      <c r="B116" s="19">
        <f>A116</f>
        <v>46499</v>
      </c>
      <c r="C116" s="20" t="str">
        <f>IF(A116="","",IF(COUNTIF('Feriados'!$A$5:$A$84,A116)&gt;0,"Feriado",IF(WEEKDAY(A116,2)&gt;5,"Fim de semana","Dia útil")))</f>
        <v>Dia útil</v>
      </c>
      <c r="D116" s="21"/>
      <c r="E116" s="21"/>
      <c r="F116" s="14"/>
      <c r="G116" s="13"/>
      <c r="H116" s="22">
        <f>IF(AND(ISNUMBER(D116),ISNUMBER(E116)),ROUND(MOD(E116-D116,1)*24-N(F116)/60,2),0)</f>
        <v>0</v>
      </c>
      <c r="I116" s="22">
        <f>IF(C116="Dia útil",'Configurações'!$B$6,0)</f>
        <v>8</v>
      </c>
      <c r="J116" s="22">
        <f>H116+IF(OR(G116="Férias",G116="Atestado médico",G116="Consulta médica",G116="Folga de banco de horas",G116="Viagem a trabalho"),I116,IF(G116="Meio dia de férias",I116/2,0))</f>
        <v>0</v>
      </c>
      <c r="K116" s="23">
        <f>IF(OR(H116&gt;0,G116&lt;&gt;""),J116-I116,0)</f>
        <v>0</v>
      </c>
      <c r="L116" s="13"/>
      <c r="M116" s="20">
        <f>IF(A116="","",MONTH(A116))</f>
        <v>4</v>
      </c>
    </row>
    <row r="117" spans="1:13" x14ac:dyDescent="0.25">
      <c r="A117" s="18">
        <f>IF(YEAR(DATE('Configurações'!$B$5,1,1)+112)='Configurações'!$B$5,DATE('Configurações'!$B$5,1,1)+112,"")</f>
        <v>46500</v>
      </c>
      <c r="B117" s="19">
        <f>A117</f>
        <v>46500</v>
      </c>
      <c r="C117" s="20" t="str">
        <f>IF(A117="","",IF(COUNTIF('Feriados'!$A$5:$A$84,A117)&gt;0,"Feriado",IF(WEEKDAY(A117,2)&gt;5,"Fim de semana","Dia útil")))</f>
        <v>Dia útil</v>
      </c>
      <c r="D117" s="21"/>
      <c r="E117" s="21"/>
      <c r="F117" s="14"/>
      <c r="G117" s="13"/>
      <c r="H117" s="22">
        <f>IF(AND(ISNUMBER(D117),ISNUMBER(E117)),ROUND(MOD(E117-D117,1)*24-N(F117)/60,2),0)</f>
        <v>0</v>
      </c>
      <c r="I117" s="22">
        <f>IF(C117="Dia útil",'Configurações'!$B$6,0)</f>
        <v>8</v>
      </c>
      <c r="J117" s="22">
        <f>H117+IF(OR(G117="Férias",G117="Atestado médico",G117="Consulta médica",G117="Folga de banco de horas",G117="Viagem a trabalho"),I117,IF(G117="Meio dia de férias",I117/2,0))</f>
        <v>0</v>
      </c>
      <c r="K117" s="23">
        <f>IF(OR(H117&gt;0,G117&lt;&gt;""),J117-I117,0)</f>
        <v>0</v>
      </c>
      <c r="L117" s="13"/>
      <c r="M117" s="20">
        <f>IF(A117="","",MONTH(A117))</f>
        <v>4</v>
      </c>
    </row>
    <row r="118" spans="1:13" x14ac:dyDescent="0.25">
      <c r="A118" s="18">
        <f>IF(YEAR(DATE('Configurações'!$B$5,1,1)+113)='Configurações'!$B$5,DATE('Configurações'!$B$5,1,1)+113,"")</f>
        <v>46501</v>
      </c>
      <c r="B118" s="19">
        <f>A118</f>
        <v>46501</v>
      </c>
      <c r="C118" s="20" t="str">
        <f>IF(A118="","",IF(COUNTIF('Feriados'!$A$5:$A$84,A118)&gt;0,"Feriado",IF(WEEKDAY(A118,2)&gt;5,"Fim de semana","Dia útil")))</f>
        <v>Fim de semana</v>
      </c>
      <c r="D118" s="21"/>
      <c r="E118" s="21"/>
      <c r="F118" s="14"/>
      <c r="G118" s="13"/>
      <c r="H118" s="22">
        <f>IF(AND(ISNUMBER(D118),ISNUMBER(E118)),ROUND(MOD(E118-D118,1)*24-N(F118)/60,2),0)</f>
        <v>0</v>
      </c>
      <c r="I118" s="22">
        <f>IF(C118="Dia útil",'Configurações'!$B$6,0)</f>
        <v>0</v>
      </c>
      <c r="J118" s="22">
        <f>H118+IF(OR(G118="Férias",G118="Atestado médico",G118="Consulta médica",G118="Folga de banco de horas",G118="Viagem a trabalho"),I118,IF(G118="Meio dia de férias",I118/2,0))</f>
        <v>0</v>
      </c>
      <c r="K118" s="23">
        <f>IF(OR(H118&gt;0,G118&lt;&gt;""),J118-I118,0)</f>
        <v>0</v>
      </c>
      <c r="L118" s="13"/>
      <c r="M118" s="20">
        <f>IF(A118="","",MONTH(A118))</f>
        <v>4</v>
      </c>
    </row>
    <row r="119" spans="1:13" x14ac:dyDescent="0.25">
      <c r="A119" s="18">
        <f>IF(YEAR(DATE('Configurações'!$B$5,1,1)+114)='Configurações'!$B$5,DATE('Configurações'!$B$5,1,1)+114,"")</f>
        <v>46502</v>
      </c>
      <c r="B119" s="19">
        <f>A119</f>
        <v>46502</v>
      </c>
      <c r="C119" s="20" t="str">
        <f>IF(A119="","",IF(COUNTIF('Feriados'!$A$5:$A$84,A119)&gt;0,"Feriado",IF(WEEKDAY(A119,2)&gt;5,"Fim de semana","Dia útil")))</f>
        <v>Fim de semana</v>
      </c>
      <c r="D119" s="21"/>
      <c r="E119" s="21"/>
      <c r="F119" s="14"/>
      <c r="G119" s="13"/>
      <c r="H119" s="22">
        <f>IF(AND(ISNUMBER(D119),ISNUMBER(E119)),ROUND(MOD(E119-D119,1)*24-N(F119)/60,2),0)</f>
        <v>0</v>
      </c>
      <c r="I119" s="22">
        <f>IF(C119="Dia útil",'Configurações'!$B$6,0)</f>
        <v>0</v>
      </c>
      <c r="J119" s="22">
        <f>H119+IF(OR(G119="Férias",G119="Atestado médico",G119="Consulta médica",G119="Folga de banco de horas",G119="Viagem a trabalho"),I119,IF(G119="Meio dia de férias",I119/2,0))</f>
        <v>0</v>
      </c>
      <c r="K119" s="23">
        <f>IF(OR(H119&gt;0,G119&lt;&gt;""),J119-I119,0)</f>
        <v>0</v>
      </c>
      <c r="L119" s="13"/>
      <c r="M119" s="20">
        <f>IF(A119="","",MONTH(A119))</f>
        <v>4</v>
      </c>
    </row>
    <row r="120" spans="1:13" x14ac:dyDescent="0.25">
      <c r="A120" s="18">
        <f>IF(YEAR(DATE('Configurações'!$B$5,1,1)+115)='Configurações'!$B$5,DATE('Configurações'!$B$5,1,1)+115,"")</f>
        <v>46503</v>
      </c>
      <c r="B120" s="19">
        <f>A120</f>
        <v>46503</v>
      </c>
      <c r="C120" s="20" t="str">
        <f>IF(A120="","",IF(COUNTIF('Feriados'!$A$5:$A$84,A120)&gt;0,"Feriado",IF(WEEKDAY(A120,2)&gt;5,"Fim de semana","Dia útil")))</f>
        <v>Dia útil</v>
      </c>
      <c r="D120" s="21"/>
      <c r="E120" s="21"/>
      <c r="F120" s="14"/>
      <c r="G120" s="13"/>
      <c r="H120" s="22">
        <f>IF(AND(ISNUMBER(D120),ISNUMBER(E120)),ROUND(MOD(E120-D120,1)*24-N(F120)/60,2),0)</f>
        <v>0</v>
      </c>
      <c r="I120" s="22">
        <f>IF(C120="Dia útil",'Configurações'!$B$6,0)</f>
        <v>8</v>
      </c>
      <c r="J120" s="22">
        <f>H120+IF(OR(G120="Férias",G120="Atestado médico",G120="Consulta médica",G120="Folga de banco de horas",G120="Viagem a trabalho"),I120,IF(G120="Meio dia de férias",I120/2,0))</f>
        <v>0</v>
      </c>
      <c r="K120" s="23">
        <f>IF(OR(H120&gt;0,G120&lt;&gt;""),J120-I120,0)</f>
        <v>0</v>
      </c>
      <c r="L120" s="13"/>
      <c r="M120" s="20">
        <f>IF(A120="","",MONTH(A120))</f>
        <v>4</v>
      </c>
    </row>
    <row r="121" spans="1:13" x14ac:dyDescent="0.25">
      <c r="A121" s="18">
        <f>IF(YEAR(DATE('Configurações'!$B$5,1,1)+116)='Configurações'!$B$5,DATE('Configurações'!$B$5,1,1)+116,"")</f>
        <v>46504</v>
      </c>
      <c r="B121" s="19">
        <f>A121</f>
        <v>46504</v>
      </c>
      <c r="C121" s="20" t="str">
        <f>IF(A121="","",IF(COUNTIF('Feriados'!$A$5:$A$84,A121)&gt;0,"Feriado",IF(WEEKDAY(A121,2)&gt;5,"Fim de semana","Dia útil")))</f>
        <v>Dia útil</v>
      </c>
      <c r="D121" s="21"/>
      <c r="E121" s="21"/>
      <c r="F121" s="14"/>
      <c r="G121" s="13"/>
      <c r="H121" s="22">
        <f>IF(AND(ISNUMBER(D121),ISNUMBER(E121)),ROUND(MOD(E121-D121,1)*24-N(F121)/60,2),0)</f>
        <v>0</v>
      </c>
      <c r="I121" s="22">
        <f>IF(C121="Dia útil",'Configurações'!$B$6,0)</f>
        <v>8</v>
      </c>
      <c r="J121" s="22">
        <f>H121+IF(OR(G121="Férias",G121="Atestado médico",G121="Consulta médica",G121="Folga de banco de horas",G121="Viagem a trabalho"),I121,IF(G121="Meio dia de férias",I121/2,0))</f>
        <v>0</v>
      </c>
      <c r="K121" s="23">
        <f>IF(OR(H121&gt;0,G121&lt;&gt;""),J121-I121,0)</f>
        <v>0</v>
      </c>
      <c r="L121" s="13"/>
      <c r="M121" s="20">
        <f>IF(A121="","",MONTH(A121))</f>
        <v>4</v>
      </c>
    </row>
    <row r="122" spans="1:13" x14ac:dyDescent="0.25">
      <c r="A122" s="18">
        <f>IF(YEAR(DATE('Configurações'!$B$5,1,1)+117)='Configurações'!$B$5,DATE('Configurações'!$B$5,1,1)+117,"")</f>
        <v>46505</v>
      </c>
      <c r="B122" s="19">
        <f>A122</f>
        <v>46505</v>
      </c>
      <c r="C122" s="20" t="str">
        <f>IF(A122="","",IF(COUNTIF('Feriados'!$A$5:$A$84,A122)&gt;0,"Feriado",IF(WEEKDAY(A122,2)&gt;5,"Fim de semana","Dia útil")))</f>
        <v>Dia útil</v>
      </c>
      <c r="D122" s="21"/>
      <c r="E122" s="21"/>
      <c r="F122" s="14"/>
      <c r="G122" s="13"/>
      <c r="H122" s="22">
        <f>IF(AND(ISNUMBER(D122),ISNUMBER(E122)),ROUND(MOD(E122-D122,1)*24-N(F122)/60,2),0)</f>
        <v>0</v>
      </c>
      <c r="I122" s="22">
        <f>IF(C122="Dia útil",'Configurações'!$B$6,0)</f>
        <v>8</v>
      </c>
      <c r="J122" s="22">
        <f>H122+IF(OR(G122="Férias",G122="Atestado médico",G122="Consulta médica",G122="Folga de banco de horas",G122="Viagem a trabalho"),I122,IF(G122="Meio dia de férias",I122/2,0))</f>
        <v>0</v>
      </c>
      <c r="K122" s="23">
        <f>IF(OR(H122&gt;0,G122&lt;&gt;""),J122-I122,0)</f>
        <v>0</v>
      </c>
      <c r="L122" s="13"/>
      <c r="M122" s="20">
        <f>IF(A122="","",MONTH(A122))</f>
        <v>4</v>
      </c>
    </row>
    <row r="123" spans="1:13" x14ac:dyDescent="0.25">
      <c r="A123" s="18">
        <f>IF(YEAR(DATE('Configurações'!$B$5,1,1)+118)='Configurações'!$B$5,DATE('Configurações'!$B$5,1,1)+118,"")</f>
        <v>46506</v>
      </c>
      <c r="B123" s="19">
        <f>A123</f>
        <v>46506</v>
      </c>
      <c r="C123" s="20" t="str">
        <f>IF(A123="","",IF(COUNTIF('Feriados'!$A$5:$A$84,A123)&gt;0,"Feriado",IF(WEEKDAY(A123,2)&gt;5,"Fim de semana","Dia útil")))</f>
        <v>Dia útil</v>
      </c>
      <c r="D123" s="21"/>
      <c r="E123" s="21"/>
      <c r="F123" s="14"/>
      <c r="G123" s="13"/>
      <c r="H123" s="22">
        <f>IF(AND(ISNUMBER(D123),ISNUMBER(E123)),ROUND(MOD(E123-D123,1)*24-N(F123)/60,2),0)</f>
        <v>0</v>
      </c>
      <c r="I123" s="22">
        <f>IF(C123="Dia útil",'Configurações'!$B$6,0)</f>
        <v>8</v>
      </c>
      <c r="J123" s="22">
        <f>H123+IF(OR(G123="Férias",G123="Atestado médico",G123="Consulta médica",G123="Folga de banco de horas",G123="Viagem a trabalho"),I123,IF(G123="Meio dia de férias",I123/2,0))</f>
        <v>0</v>
      </c>
      <c r="K123" s="23">
        <f>IF(OR(H123&gt;0,G123&lt;&gt;""),J123-I123,0)</f>
        <v>0</v>
      </c>
      <c r="L123" s="13"/>
      <c r="M123" s="20">
        <f>IF(A123="","",MONTH(A123))</f>
        <v>4</v>
      </c>
    </row>
    <row r="124" spans="1:13" x14ac:dyDescent="0.25">
      <c r="A124" s="18">
        <f>IF(YEAR(DATE('Configurações'!$B$5,1,1)+119)='Configurações'!$B$5,DATE('Configurações'!$B$5,1,1)+119,"")</f>
        <v>46507</v>
      </c>
      <c r="B124" s="19">
        <f>A124</f>
        <v>46507</v>
      </c>
      <c r="C124" s="20" t="str">
        <f>IF(A124="","",IF(COUNTIF('Feriados'!$A$5:$A$84,A124)&gt;0,"Feriado",IF(WEEKDAY(A124,2)&gt;5,"Fim de semana","Dia útil")))</f>
        <v>Dia útil</v>
      </c>
      <c r="D124" s="21"/>
      <c r="E124" s="21"/>
      <c r="F124" s="14"/>
      <c r="G124" s="13"/>
      <c r="H124" s="22">
        <f>IF(AND(ISNUMBER(D124),ISNUMBER(E124)),ROUND(MOD(E124-D124,1)*24-N(F124)/60,2),0)</f>
        <v>0</v>
      </c>
      <c r="I124" s="22">
        <f>IF(C124="Dia útil",'Configurações'!$B$6,0)</f>
        <v>8</v>
      </c>
      <c r="J124" s="22">
        <f>H124+IF(OR(G124="Férias",G124="Atestado médico",G124="Consulta médica",G124="Folga de banco de horas",G124="Viagem a trabalho"),I124,IF(G124="Meio dia de férias",I124/2,0))</f>
        <v>0</v>
      </c>
      <c r="K124" s="23">
        <f>IF(OR(H124&gt;0,G124&lt;&gt;""),J124-I124,0)</f>
        <v>0</v>
      </c>
      <c r="L124" s="13"/>
      <c r="M124" s="20">
        <f>IF(A124="","",MONTH(A124))</f>
        <v>4</v>
      </c>
    </row>
    <row r="125" spans="1:13" x14ac:dyDescent="0.25">
      <c r="A125" s="18">
        <f>IF(YEAR(DATE('Configurações'!$B$5,1,1)+120)='Configurações'!$B$5,DATE('Configurações'!$B$5,1,1)+120,"")</f>
        <v>46508</v>
      </c>
      <c r="B125" s="19">
        <f>A125</f>
        <v>46508</v>
      </c>
      <c r="C125" s="20" t="str">
        <f>IF(A125="","",IF(COUNTIF('Feriados'!$A$5:$A$84,A125)&gt;0,"Feriado",IF(WEEKDAY(A125,2)&gt;5,"Fim de semana","Dia útil")))</f>
        <v>Feriado</v>
      </c>
      <c r="D125" s="21"/>
      <c r="E125" s="21"/>
      <c r="F125" s="14"/>
      <c r="G125" s="13"/>
      <c r="H125" s="22">
        <f>IF(AND(ISNUMBER(D125),ISNUMBER(E125)),ROUND(MOD(E125-D125,1)*24-N(F125)/60,2),0)</f>
        <v>0</v>
      </c>
      <c r="I125" s="22">
        <f>IF(C125="Dia útil",'Configurações'!$B$6,0)</f>
        <v>0</v>
      </c>
      <c r="J125" s="22">
        <f>H125+IF(OR(G125="Férias",G125="Atestado médico",G125="Consulta médica",G125="Folga de banco de horas",G125="Viagem a trabalho"),I125,IF(G125="Meio dia de férias",I125/2,0))</f>
        <v>0</v>
      </c>
      <c r="K125" s="23">
        <f>IF(OR(H125&gt;0,G125&lt;&gt;""),J125-I125,0)</f>
        <v>0</v>
      </c>
      <c r="L125" s="13"/>
      <c r="M125" s="20">
        <f>IF(A125="","",MONTH(A125))</f>
        <v>5</v>
      </c>
    </row>
    <row r="126" spans="1:13" x14ac:dyDescent="0.25">
      <c r="A126" s="18">
        <f>IF(YEAR(DATE('Configurações'!$B$5,1,1)+121)='Configurações'!$B$5,DATE('Configurações'!$B$5,1,1)+121,"")</f>
        <v>46509</v>
      </c>
      <c r="B126" s="19">
        <f>A126</f>
        <v>46509</v>
      </c>
      <c r="C126" s="20" t="str">
        <f>IF(A126="","",IF(COUNTIF('Feriados'!$A$5:$A$84,A126)&gt;0,"Feriado",IF(WEEKDAY(A126,2)&gt;5,"Fim de semana","Dia útil")))</f>
        <v>Fim de semana</v>
      </c>
      <c r="D126" s="21"/>
      <c r="E126" s="21"/>
      <c r="F126" s="14"/>
      <c r="G126" s="13"/>
      <c r="H126" s="22">
        <f>IF(AND(ISNUMBER(D126),ISNUMBER(E126)),ROUND(MOD(E126-D126,1)*24-N(F126)/60,2),0)</f>
        <v>0</v>
      </c>
      <c r="I126" s="22">
        <f>IF(C126="Dia útil",'Configurações'!$B$6,0)</f>
        <v>0</v>
      </c>
      <c r="J126" s="22">
        <f>H126+IF(OR(G126="Férias",G126="Atestado médico",G126="Consulta médica",G126="Folga de banco de horas",G126="Viagem a trabalho"),I126,IF(G126="Meio dia de férias",I126/2,0))</f>
        <v>0</v>
      </c>
      <c r="K126" s="23">
        <f>IF(OR(H126&gt;0,G126&lt;&gt;""),J126-I126,0)</f>
        <v>0</v>
      </c>
      <c r="L126" s="13"/>
      <c r="M126" s="20">
        <f>IF(A126="","",MONTH(A126))</f>
        <v>5</v>
      </c>
    </row>
    <row r="127" spans="1:13" x14ac:dyDescent="0.25">
      <c r="A127" s="18">
        <f>IF(YEAR(DATE('Configurações'!$B$5,1,1)+122)='Configurações'!$B$5,DATE('Configurações'!$B$5,1,1)+122,"")</f>
        <v>46510</v>
      </c>
      <c r="B127" s="19">
        <f>A127</f>
        <v>46510</v>
      </c>
      <c r="C127" s="20" t="str">
        <f>IF(A127="","",IF(COUNTIF('Feriados'!$A$5:$A$84,A127)&gt;0,"Feriado",IF(WEEKDAY(A127,2)&gt;5,"Fim de semana","Dia útil")))</f>
        <v>Dia útil</v>
      </c>
      <c r="D127" s="21"/>
      <c r="E127" s="21"/>
      <c r="F127" s="14"/>
      <c r="G127" s="13"/>
      <c r="H127" s="22">
        <f>IF(AND(ISNUMBER(D127),ISNUMBER(E127)),ROUND(MOD(E127-D127,1)*24-N(F127)/60,2),0)</f>
        <v>0</v>
      </c>
      <c r="I127" s="22">
        <f>IF(C127="Dia útil",'Configurações'!$B$6,0)</f>
        <v>8</v>
      </c>
      <c r="J127" s="22">
        <f>H127+IF(OR(G127="Férias",G127="Atestado médico",G127="Consulta médica",G127="Folga de banco de horas",G127="Viagem a trabalho"),I127,IF(G127="Meio dia de férias",I127/2,0))</f>
        <v>0</v>
      </c>
      <c r="K127" s="23">
        <f>IF(OR(H127&gt;0,G127&lt;&gt;""),J127-I127,0)</f>
        <v>0</v>
      </c>
      <c r="L127" s="13"/>
      <c r="M127" s="20">
        <f>IF(A127="","",MONTH(A127))</f>
        <v>5</v>
      </c>
    </row>
    <row r="128" spans="1:13" x14ac:dyDescent="0.25">
      <c r="A128" s="18">
        <f>IF(YEAR(DATE('Configurações'!$B$5,1,1)+123)='Configurações'!$B$5,DATE('Configurações'!$B$5,1,1)+123,"")</f>
        <v>46511</v>
      </c>
      <c r="B128" s="19">
        <f>A128</f>
        <v>46511</v>
      </c>
      <c r="C128" s="20" t="str">
        <f>IF(A128="","",IF(COUNTIF('Feriados'!$A$5:$A$84,A128)&gt;0,"Feriado",IF(WEEKDAY(A128,2)&gt;5,"Fim de semana","Dia útil")))</f>
        <v>Dia útil</v>
      </c>
      <c r="D128" s="21"/>
      <c r="E128" s="21"/>
      <c r="F128" s="14"/>
      <c r="G128" s="13"/>
      <c r="H128" s="22">
        <f>IF(AND(ISNUMBER(D128),ISNUMBER(E128)),ROUND(MOD(E128-D128,1)*24-N(F128)/60,2),0)</f>
        <v>0</v>
      </c>
      <c r="I128" s="22">
        <f>IF(C128="Dia útil",'Configurações'!$B$6,0)</f>
        <v>8</v>
      </c>
      <c r="J128" s="22">
        <f>H128+IF(OR(G128="Férias",G128="Atestado médico",G128="Consulta médica",G128="Folga de banco de horas",G128="Viagem a trabalho"),I128,IF(G128="Meio dia de férias",I128/2,0))</f>
        <v>0</v>
      </c>
      <c r="K128" s="23">
        <f>IF(OR(H128&gt;0,G128&lt;&gt;""),J128-I128,0)</f>
        <v>0</v>
      </c>
      <c r="L128" s="13"/>
      <c r="M128" s="20">
        <f>IF(A128="","",MONTH(A128))</f>
        <v>5</v>
      </c>
    </row>
    <row r="129" spans="1:13" x14ac:dyDescent="0.25">
      <c r="A129" s="18">
        <f>IF(YEAR(DATE('Configurações'!$B$5,1,1)+124)='Configurações'!$B$5,DATE('Configurações'!$B$5,1,1)+124,"")</f>
        <v>46512</v>
      </c>
      <c r="B129" s="19">
        <f>A129</f>
        <v>46512</v>
      </c>
      <c r="C129" s="20" t="str">
        <f>IF(A129="","",IF(COUNTIF('Feriados'!$A$5:$A$84,A129)&gt;0,"Feriado",IF(WEEKDAY(A129,2)&gt;5,"Fim de semana","Dia útil")))</f>
        <v>Dia útil</v>
      </c>
      <c r="D129" s="21"/>
      <c r="E129" s="21"/>
      <c r="F129" s="14"/>
      <c r="G129" s="13"/>
      <c r="H129" s="22">
        <f>IF(AND(ISNUMBER(D129),ISNUMBER(E129)),ROUND(MOD(E129-D129,1)*24-N(F129)/60,2),0)</f>
        <v>0</v>
      </c>
      <c r="I129" s="22">
        <f>IF(C129="Dia útil",'Configurações'!$B$6,0)</f>
        <v>8</v>
      </c>
      <c r="J129" s="22">
        <f>H129+IF(OR(G129="Férias",G129="Atestado médico",G129="Consulta médica",G129="Folga de banco de horas",G129="Viagem a trabalho"),I129,IF(G129="Meio dia de férias",I129/2,0))</f>
        <v>0</v>
      </c>
      <c r="K129" s="23">
        <f>IF(OR(H129&gt;0,G129&lt;&gt;""),J129-I129,0)</f>
        <v>0</v>
      </c>
      <c r="L129" s="13"/>
      <c r="M129" s="20">
        <f>IF(A129="","",MONTH(A129))</f>
        <v>5</v>
      </c>
    </row>
    <row r="130" spans="1:13" x14ac:dyDescent="0.25">
      <c r="A130" s="18">
        <f>IF(YEAR(DATE('Configurações'!$B$5,1,1)+125)='Configurações'!$B$5,DATE('Configurações'!$B$5,1,1)+125,"")</f>
        <v>46513</v>
      </c>
      <c r="B130" s="19">
        <f>A130</f>
        <v>46513</v>
      </c>
      <c r="C130" s="20" t="str">
        <f>IF(A130="","",IF(COUNTIF('Feriados'!$A$5:$A$84,A130)&gt;0,"Feriado",IF(WEEKDAY(A130,2)&gt;5,"Fim de semana","Dia útil")))</f>
        <v>Dia útil</v>
      </c>
      <c r="D130" s="21"/>
      <c r="E130" s="21"/>
      <c r="F130" s="14"/>
      <c r="G130" s="13"/>
      <c r="H130" s="22">
        <f>IF(AND(ISNUMBER(D130),ISNUMBER(E130)),ROUND(MOD(E130-D130,1)*24-N(F130)/60,2),0)</f>
        <v>0</v>
      </c>
      <c r="I130" s="22">
        <f>IF(C130="Dia útil",'Configurações'!$B$6,0)</f>
        <v>8</v>
      </c>
      <c r="J130" s="22">
        <f>H130+IF(OR(G130="Férias",G130="Atestado médico",G130="Consulta médica",G130="Folga de banco de horas",G130="Viagem a trabalho"),I130,IF(G130="Meio dia de férias",I130/2,0))</f>
        <v>0</v>
      </c>
      <c r="K130" s="23">
        <f>IF(OR(H130&gt;0,G130&lt;&gt;""),J130-I130,0)</f>
        <v>0</v>
      </c>
      <c r="L130" s="13"/>
      <c r="M130" s="20">
        <f>IF(A130="","",MONTH(A130))</f>
        <v>5</v>
      </c>
    </row>
    <row r="131" spans="1:13" x14ac:dyDescent="0.25">
      <c r="A131" s="18">
        <f>IF(YEAR(DATE('Configurações'!$B$5,1,1)+126)='Configurações'!$B$5,DATE('Configurações'!$B$5,1,1)+126,"")</f>
        <v>46514</v>
      </c>
      <c r="B131" s="19">
        <f>A131</f>
        <v>46514</v>
      </c>
      <c r="C131" s="20" t="str">
        <f>IF(A131="","",IF(COUNTIF('Feriados'!$A$5:$A$84,A131)&gt;0,"Feriado",IF(WEEKDAY(A131,2)&gt;5,"Fim de semana","Dia útil")))</f>
        <v>Dia útil</v>
      </c>
      <c r="D131" s="21"/>
      <c r="E131" s="21"/>
      <c r="F131" s="14"/>
      <c r="G131" s="13"/>
      <c r="H131" s="22">
        <f>IF(AND(ISNUMBER(D131),ISNUMBER(E131)),ROUND(MOD(E131-D131,1)*24-N(F131)/60,2),0)</f>
        <v>0</v>
      </c>
      <c r="I131" s="22">
        <f>IF(C131="Dia útil",'Configurações'!$B$6,0)</f>
        <v>8</v>
      </c>
      <c r="J131" s="22">
        <f>H131+IF(OR(G131="Férias",G131="Atestado médico",G131="Consulta médica",G131="Folga de banco de horas",G131="Viagem a trabalho"),I131,IF(G131="Meio dia de férias",I131/2,0))</f>
        <v>0</v>
      </c>
      <c r="K131" s="23">
        <f>IF(OR(H131&gt;0,G131&lt;&gt;""),J131-I131,0)</f>
        <v>0</v>
      </c>
      <c r="L131" s="13"/>
      <c r="M131" s="20">
        <f>IF(A131="","",MONTH(A131))</f>
        <v>5</v>
      </c>
    </row>
    <row r="132" spans="1:13" x14ac:dyDescent="0.25">
      <c r="A132" s="18">
        <f>IF(YEAR(DATE('Configurações'!$B$5,1,1)+127)='Configurações'!$B$5,DATE('Configurações'!$B$5,1,1)+127,"")</f>
        <v>46515</v>
      </c>
      <c r="B132" s="19">
        <f>A132</f>
        <v>46515</v>
      </c>
      <c r="C132" s="20" t="str">
        <f>IF(A132="","",IF(COUNTIF('Feriados'!$A$5:$A$84,A132)&gt;0,"Feriado",IF(WEEKDAY(A132,2)&gt;5,"Fim de semana","Dia útil")))</f>
        <v>Fim de semana</v>
      </c>
      <c r="D132" s="21"/>
      <c r="E132" s="21"/>
      <c r="F132" s="14"/>
      <c r="G132" s="13"/>
      <c r="H132" s="22">
        <f>IF(AND(ISNUMBER(D132),ISNUMBER(E132)),ROUND(MOD(E132-D132,1)*24-N(F132)/60,2),0)</f>
        <v>0</v>
      </c>
      <c r="I132" s="22">
        <f>IF(C132="Dia útil",'Configurações'!$B$6,0)</f>
        <v>0</v>
      </c>
      <c r="J132" s="22">
        <f>H132+IF(OR(G132="Férias",G132="Atestado médico",G132="Consulta médica",G132="Folga de banco de horas",G132="Viagem a trabalho"),I132,IF(G132="Meio dia de férias",I132/2,0))</f>
        <v>0</v>
      </c>
      <c r="K132" s="23">
        <f>IF(OR(H132&gt;0,G132&lt;&gt;""),J132-I132,0)</f>
        <v>0</v>
      </c>
      <c r="L132" s="13"/>
      <c r="M132" s="20">
        <f>IF(A132="","",MONTH(A132))</f>
        <v>5</v>
      </c>
    </row>
    <row r="133" spans="1:13" x14ac:dyDescent="0.25">
      <c r="A133" s="18">
        <f>IF(YEAR(DATE('Configurações'!$B$5,1,1)+128)='Configurações'!$B$5,DATE('Configurações'!$B$5,1,1)+128,"")</f>
        <v>46516</v>
      </c>
      <c r="B133" s="19">
        <f>A133</f>
        <v>46516</v>
      </c>
      <c r="C133" s="20" t="str">
        <f>IF(A133="","",IF(COUNTIF('Feriados'!$A$5:$A$84,A133)&gt;0,"Feriado",IF(WEEKDAY(A133,2)&gt;5,"Fim de semana","Dia útil")))</f>
        <v>Fim de semana</v>
      </c>
      <c r="D133" s="21"/>
      <c r="E133" s="21"/>
      <c r="F133" s="14"/>
      <c r="G133" s="13"/>
      <c r="H133" s="22">
        <f>IF(AND(ISNUMBER(D133),ISNUMBER(E133)),ROUND(MOD(E133-D133,1)*24-N(F133)/60,2),0)</f>
        <v>0</v>
      </c>
      <c r="I133" s="22">
        <f>IF(C133="Dia útil",'Configurações'!$B$6,0)</f>
        <v>0</v>
      </c>
      <c r="J133" s="22">
        <f>H133+IF(OR(G133="Férias",G133="Atestado médico",G133="Consulta médica",G133="Folga de banco de horas",G133="Viagem a trabalho"),I133,IF(G133="Meio dia de férias",I133/2,0))</f>
        <v>0</v>
      </c>
      <c r="K133" s="23">
        <f>IF(OR(H133&gt;0,G133&lt;&gt;""),J133-I133,0)</f>
        <v>0</v>
      </c>
      <c r="L133" s="13"/>
      <c r="M133" s="20">
        <f>IF(A133="","",MONTH(A133))</f>
        <v>5</v>
      </c>
    </row>
    <row r="134" spans="1:13" x14ac:dyDescent="0.25">
      <c r="A134" s="18">
        <f>IF(YEAR(DATE('Configurações'!$B$5,1,1)+129)='Configurações'!$B$5,DATE('Configurações'!$B$5,1,1)+129,"")</f>
        <v>46517</v>
      </c>
      <c r="B134" s="19">
        <f>A134</f>
        <v>46517</v>
      </c>
      <c r="C134" s="20" t="str">
        <f>IF(A134="","",IF(COUNTIF('Feriados'!$A$5:$A$84,A134)&gt;0,"Feriado",IF(WEEKDAY(A134,2)&gt;5,"Fim de semana","Dia útil")))</f>
        <v>Dia útil</v>
      </c>
      <c r="D134" s="21"/>
      <c r="E134" s="21"/>
      <c r="F134" s="14"/>
      <c r="G134" s="13"/>
      <c r="H134" s="22">
        <f>IF(AND(ISNUMBER(D134),ISNUMBER(E134)),ROUND(MOD(E134-D134,1)*24-N(F134)/60,2),0)</f>
        <v>0</v>
      </c>
      <c r="I134" s="22">
        <f>IF(C134="Dia útil",'Configurações'!$B$6,0)</f>
        <v>8</v>
      </c>
      <c r="J134" s="22">
        <f>H134+IF(OR(G134="Férias",G134="Atestado médico",G134="Consulta médica",G134="Folga de banco de horas",G134="Viagem a trabalho"),I134,IF(G134="Meio dia de férias",I134/2,0))</f>
        <v>0</v>
      </c>
      <c r="K134" s="23">
        <f>IF(OR(H134&gt;0,G134&lt;&gt;""),J134-I134,0)</f>
        <v>0</v>
      </c>
      <c r="L134" s="13"/>
      <c r="M134" s="20">
        <f>IF(A134="","",MONTH(A134))</f>
        <v>5</v>
      </c>
    </row>
    <row r="135" spans="1:13" x14ac:dyDescent="0.25">
      <c r="A135" s="18">
        <f>IF(YEAR(DATE('Configurações'!$B$5,1,1)+130)='Configurações'!$B$5,DATE('Configurações'!$B$5,1,1)+130,"")</f>
        <v>46518</v>
      </c>
      <c r="B135" s="19">
        <f>A135</f>
        <v>46518</v>
      </c>
      <c r="C135" s="20" t="str">
        <f>IF(A135="","",IF(COUNTIF('Feriados'!$A$5:$A$84,A135)&gt;0,"Feriado",IF(WEEKDAY(A135,2)&gt;5,"Fim de semana","Dia útil")))</f>
        <v>Dia útil</v>
      </c>
      <c r="D135" s="21"/>
      <c r="E135" s="21"/>
      <c r="F135" s="14"/>
      <c r="G135" s="13"/>
      <c r="H135" s="22">
        <f>IF(AND(ISNUMBER(D135),ISNUMBER(E135)),ROUND(MOD(E135-D135,1)*24-N(F135)/60,2),0)</f>
        <v>0</v>
      </c>
      <c r="I135" s="22">
        <f>IF(C135="Dia útil",'Configurações'!$B$6,0)</f>
        <v>8</v>
      </c>
      <c r="J135" s="22">
        <f>H135+IF(OR(G135="Férias",G135="Atestado médico",G135="Consulta médica",G135="Folga de banco de horas",G135="Viagem a trabalho"),I135,IF(G135="Meio dia de férias",I135/2,0))</f>
        <v>0</v>
      </c>
      <c r="K135" s="23">
        <f>IF(OR(H135&gt;0,G135&lt;&gt;""),J135-I135,0)</f>
        <v>0</v>
      </c>
      <c r="L135" s="13"/>
      <c r="M135" s="20">
        <f>IF(A135="","",MONTH(A135))</f>
        <v>5</v>
      </c>
    </row>
    <row r="136" spans="1:13" x14ac:dyDescent="0.25">
      <c r="A136" s="18">
        <f>IF(YEAR(DATE('Configurações'!$B$5,1,1)+131)='Configurações'!$B$5,DATE('Configurações'!$B$5,1,1)+131,"")</f>
        <v>46519</v>
      </c>
      <c r="B136" s="19">
        <f>A136</f>
        <v>46519</v>
      </c>
      <c r="C136" s="20" t="str">
        <f>IF(A136="","",IF(COUNTIF('Feriados'!$A$5:$A$84,A136)&gt;0,"Feriado",IF(WEEKDAY(A136,2)&gt;5,"Fim de semana","Dia útil")))</f>
        <v>Dia útil</v>
      </c>
      <c r="D136" s="21"/>
      <c r="E136" s="21"/>
      <c r="F136" s="14"/>
      <c r="G136" s="13"/>
      <c r="H136" s="22">
        <f>IF(AND(ISNUMBER(D136),ISNUMBER(E136)),ROUND(MOD(E136-D136,1)*24-N(F136)/60,2),0)</f>
        <v>0</v>
      </c>
      <c r="I136" s="22">
        <f>IF(C136="Dia útil",'Configurações'!$B$6,0)</f>
        <v>8</v>
      </c>
      <c r="J136" s="22">
        <f>H136+IF(OR(G136="Férias",G136="Atestado médico",G136="Consulta médica",G136="Folga de banco de horas",G136="Viagem a trabalho"),I136,IF(G136="Meio dia de férias",I136/2,0))</f>
        <v>0</v>
      </c>
      <c r="K136" s="23">
        <f>IF(OR(H136&gt;0,G136&lt;&gt;""),J136-I136,0)</f>
        <v>0</v>
      </c>
      <c r="L136" s="13"/>
      <c r="M136" s="20">
        <f>IF(A136="","",MONTH(A136))</f>
        <v>5</v>
      </c>
    </row>
    <row r="137" spans="1:13" x14ac:dyDescent="0.25">
      <c r="A137" s="18">
        <f>IF(YEAR(DATE('Configurações'!$B$5,1,1)+132)='Configurações'!$B$5,DATE('Configurações'!$B$5,1,1)+132,"")</f>
        <v>46520</v>
      </c>
      <c r="B137" s="19">
        <f>A137</f>
        <v>46520</v>
      </c>
      <c r="C137" s="20" t="str">
        <f>IF(A137="","",IF(COUNTIF('Feriados'!$A$5:$A$84,A137)&gt;0,"Feriado",IF(WEEKDAY(A137,2)&gt;5,"Fim de semana","Dia útil")))</f>
        <v>Dia útil</v>
      </c>
      <c r="D137" s="21"/>
      <c r="E137" s="21"/>
      <c r="F137" s="14"/>
      <c r="G137" s="13"/>
      <c r="H137" s="22">
        <f>IF(AND(ISNUMBER(D137),ISNUMBER(E137)),ROUND(MOD(E137-D137,1)*24-N(F137)/60,2),0)</f>
        <v>0</v>
      </c>
      <c r="I137" s="22">
        <f>IF(C137="Dia útil",'Configurações'!$B$6,0)</f>
        <v>8</v>
      </c>
      <c r="J137" s="22">
        <f>H137+IF(OR(G137="Férias",G137="Atestado médico",G137="Consulta médica",G137="Folga de banco de horas",G137="Viagem a trabalho"),I137,IF(G137="Meio dia de férias",I137/2,0))</f>
        <v>0</v>
      </c>
      <c r="K137" s="23">
        <f>IF(OR(H137&gt;0,G137&lt;&gt;""),J137-I137,0)</f>
        <v>0</v>
      </c>
      <c r="L137" s="13"/>
      <c r="M137" s="20">
        <f>IF(A137="","",MONTH(A137))</f>
        <v>5</v>
      </c>
    </row>
    <row r="138" spans="1:13" x14ac:dyDescent="0.25">
      <c r="A138" s="18">
        <f>IF(YEAR(DATE('Configurações'!$B$5,1,1)+133)='Configurações'!$B$5,DATE('Configurações'!$B$5,1,1)+133,"")</f>
        <v>46521</v>
      </c>
      <c r="B138" s="19">
        <f>A138</f>
        <v>46521</v>
      </c>
      <c r="C138" s="20" t="str">
        <f>IF(A138="","",IF(COUNTIF('Feriados'!$A$5:$A$84,A138)&gt;0,"Feriado",IF(WEEKDAY(A138,2)&gt;5,"Fim de semana","Dia útil")))</f>
        <v>Dia útil</v>
      </c>
      <c r="D138" s="21"/>
      <c r="E138" s="21"/>
      <c r="F138" s="14"/>
      <c r="G138" s="13"/>
      <c r="H138" s="22">
        <f>IF(AND(ISNUMBER(D138),ISNUMBER(E138)),ROUND(MOD(E138-D138,1)*24-N(F138)/60,2),0)</f>
        <v>0</v>
      </c>
      <c r="I138" s="22">
        <f>IF(C138="Dia útil",'Configurações'!$B$6,0)</f>
        <v>8</v>
      </c>
      <c r="J138" s="22">
        <f>H138+IF(OR(G138="Férias",G138="Atestado médico",G138="Consulta médica",G138="Folga de banco de horas",G138="Viagem a trabalho"),I138,IF(G138="Meio dia de férias",I138/2,0))</f>
        <v>0</v>
      </c>
      <c r="K138" s="23">
        <f>IF(OR(H138&gt;0,G138&lt;&gt;""),J138-I138,0)</f>
        <v>0</v>
      </c>
      <c r="L138" s="13"/>
      <c r="M138" s="20">
        <f>IF(A138="","",MONTH(A138))</f>
        <v>5</v>
      </c>
    </row>
    <row r="139" spans="1:13" x14ac:dyDescent="0.25">
      <c r="A139" s="18">
        <f>IF(YEAR(DATE('Configurações'!$B$5,1,1)+134)='Configurações'!$B$5,DATE('Configurações'!$B$5,1,1)+134,"")</f>
        <v>46522</v>
      </c>
      <c r="B139" s="19">
        <f>A139</f>
        <v>46522</v>
      </c>
      <c r="C139" s="20" t="str">
        <f>IF(A139="","",IF(COUNTIF('Feriados'!$A$5:$A$84,A139)&gt;0,"Feriado",IF(WEEKDAY(A139,2)&gt;5,"Fim de semana","Dia útil")))</f>
        <v>Fim de semana</v>
      </c>
      <c r="D139" s="21"/>
      <c r="E139" s="21"/>
      <c r="F139" s="14"/>
      <c r="G139" s="13"/>
      <c r="H139" s="22">
        <f>IF(AND(ISNUMBER(D139),ISNUMBER(E139)),ROUND(MOD(E139-D139,1)*24-N(F139)/60,2),0)</f>
        <v>0</v>
      </c>
      <c r="I139" s="22">
        <f>IF(C139="Dia útil",'Configurações'!$B$6,0)</f>
        <v>0</v>
      </c>
      <c r="J139" s="22">
        <f>H139+IF(OR(G139="Férias",G139="Atestado médico",G139="Consulta médica",G139="Folga de banco de horas",G139="Viagem a trabalho"),I139,IF(G139="Meio dia de férias",I139/2,0))</f>
        <v>0</v>
      </c>
      <c r="K139" s="23">
        <f>IF(OR(H139&gt;0,G139&lt;&gt;""),J139-I139,0)</f>
        <v>0</v>
      </c>
      <c r="L139" s="13"/>
      <c r="M139" s="20">
        <f>IF(A139="","",MONTH(A139))</f>
        <v>5</v>
      </c>
    </row>
    <row r="140" spans="1:13" x14ac:dyDescent="0.25">
      <c r="A140" s="18">
        <f>IF(YEAR(DATE('Configurações'!$B$5,1,1)+135)='Configurações'!$B$5,DATE('Configurações'!$B$5,1,1)+135,"")</f>
        <v>46523</v>
      </c>
      <c r="B140" s="19">
        <f>A140</f>
        <v>46523</v>
      </c>
      <c r="C140" s="20" t="str">
        <f>IF(A140="","",IF(COUNTIF('Feriados'!$A$5:$A$84,A140)&gt;0,"Feriado",IF(WEEKDAY(A140,2)&gt;5,"Fim de semana","Dia útil")))</f>
        <v>Fim de semana</v>
      </c>
      <c r="D140" s="21"/>
      <c r="E140" s="21"/>
      <c r="F140" s="14"/>
      <c r="G140" s="13"/>
      <c r="H140" s="22">
        <f>IF(AND(ISNUMBER(D140),ISNUMBER(E140)),ROUND(MOD(E140-D140,1)*24-N(F140)/60,2),0)</f>
        <v>0</v>
      </c>
      <c r="I140" s="22">
        <f>IF(C140="Dia útil",'Configurações'!$B$6,0)</f>
        <v>0</v>
      </c>
      <c r="J140" s="22">
        <f>H140+IF(OR(G140="Férias",G140="Atestado médico",G140="Consulta médica",G140="Folga de banco de horas",G140="Viagem a trabalho"),I140,IF(G140="Meio dia de férias",I140/2,0))</f>
        <v>0</v>
      </c>
      <c r="K140" s="23">
        <f>IF(OR(H140&gt;0,G140&lt;&gt;""),J140-I140,0)</f>
        <v>0</v>
      </c>
      <c r="L140" s="13"/>
      <c r="M140" s="20">
        <f>IF(A140="","",MONTH(A140))</f>
        <v>5</v>
      </c>
    </row>
    <row r="141" spans="1:13" x14ac:dyDescent="0.25">
      <c r="A141" s="18">
        <f>IF(YEAR(DATE('Configurações'!$B$5,1,1)+136)='Configurações'!$B$5,DATE('Configurações'!$B$5,1,1)+136,"")</f>
        <v>46524</v>
      </c>
      <c r="B141" s="19">
        <f>A141</f>
        <v>46524</v>
      </c>
      <c r="C141" s="20" t="str">
        <f>IF(A141="","",IF(COUNTIF('Feriados'!$A$5:$A$84,A141)&gt;0,"Feriado",IF(WEEKDAY(A141,2)&gt;5,"Fim de semana","Dia útil")))</f>
        <v>Dia útil</v>
      </c>
      <c r="D141" s="21"/>
      <c r="E141" s="21"/>
      <c r="F141" s="14"/>
      <c r="G141" s="13"/>
      <c r="H141" s="22">
        <f>IF(AND(ISNUMBER(D141),ISNUMBER(E141)),ROUND(MOD(E141-D141,1)*24-N(F141)/60,2),0)</f>
        <v>0</v>
      </c>
      <c r="I141" s="22">
        <f>IF(C141="Dia útil",'Configurações'!$B$6,0)</f>
        <v>8</v>
      </c>
      <c r="J141" s="22">
        <f>H141+IF(OR(G141="Férias",G141="Atestado médico",G141="Consulta médica",G141="Folga de banco de horas",G141="Viagem a trabalho"),I141,IF(G141="Meio dia de férias",I141/2,0))</f>
        <v>0</v>
      </c>
      <c r="K141" s="23">
        <f>IF(OR(H141&gt;0,G141&lt;&gt;""),J141-I141,0)</f>
        <v>0</v>
      </c>
      <c r="L141" s="13"/>
      <c r="M141" s="20">
        <f>IF(A141="","",MONTH(A141))</f>
        <v>5</v>
      </c>
    </row>
    <row r="142" spans="1:13" x14ac:dyDescent="0.25">
      <c r="A142" s="18">
        <f>IF(YEAR(DATE('Configurações'!$B$5,1,1)+137)='Configurações'!$B$5,DATE('Configurações'!$B$5,1,1)+137,"")</f>
        <v>46525</v>
      </c>
      <c r="B142" s="19">
        <f>A142</f>
        <v>46525</v>
      </c>
      <c r="C142" s="20" t="str">
        <f>IF(A142="","",IF(COUNTIF('Feriados'!$A$5:$A$84,A142)&gt;0,"Feriado",IF(WEEKDAY(A142,2)&gt;5,"Fim de semana","Dia útil")))</f>
        <v>Dia útil</v>
      </c>
      <c r="D142" s="21"/>
      <c r="E142" s="21"/>
      <c r="F142" s="14"/>
      <c r="G142" s="13"/>
      <c r="H142" s="22">
        <f>IF(AND(ISNUMBER(D142),ISNUMBER(E142)),ROUND(MOD(E142-D142,1)*24-N(F142)/60,2),0)</f>
        <v>0</v>
      </c>
      <c r="I142" s="22">
        <f>IF(C142="Dia útil",'Configurações'!$B$6,0)</f>
        <v>8</v>
      </c>
      <c r="J142" s="22">
        <f>H142+IF(OR(G142="Férias",G142="Atestado médico",G142="Consulta médica",G142="Folga de banco de horas",G142="Viagem a trabalho"),I142,IF(G142="Meio dia de férias",I142/2,0))</f>
        <v>0</v>
      </c>
      <c r="K142" s="23">
        <f>IF(OR(H142&gt;0,G142&lt;&gt;""),J142-I142,0)</f>
        <v>0</v>
      </c>
      <c r="L142" s="13"/>
      <c r="M142" s="20">
        <f>IF(A142="","",MONTH(A142))</f>
        <v>5</v>
      </c>
    </row>
    <row r="143" spans="1:13" x14ac:dyDescent="0.25">
      <c r="A143" s="18">
        <f>IF(YEAR(DATE('Configurações'!$B$5,1,1)+138)='Configurações'!$B$5,DATE('Configurações'!$B$5,1,1)+138,"")</f>
        <v>46526</v>
      </c>
      <c r="B143" s="19">
        <f>A143</f>
        <v>46526</v>
      </c>
      <c r="C143" s="20" t="str">
        <f>IF(A143="","",IF(COUNTIF('Feriados'!$A$5:$A$84,A143)&gt;0,"Feriado",IF(WEEKDAY(A143,2)&gt;5,"Fim de semana","Dia útil")))</f>
        <v>Dia útil</v>
      </c>
      <c r="D143" s="21"/>
      <c r="E143" s="21"/>
      <c r="F143" s="14"/>
      <c r="G143" s="13"/>
      <c r="H143" s="22">
        <f>IF(AND(ISNUMBER(D143),ISNUMBER(E143)),ROUND(MOD(E143-D143,1)*24-N(F143)/60,2),0)</f>
        <v>0</v>
      </c>
      <c r="I143" s="22">
        <f>IF(C143="Dia útil",'Configurações'!$B$6,0)</f>
        <v>8</v>
      </c>
      <c r="J143" s="22">
        <f>H143+IF(OR(G143="Férias",G143="Atestado médico",G143="Consulta médica",G143="Folga de banco de horas",G143="Viagem a trabalho"),I143,IF(G143="Meio dia de férias",I143/2,0))</f>
        <v>0</v>
      </c>
      <c r="K143" s="23">
        <f>IF(OR(H143&gt;0,G143&lt;&gt;""),J143-I143,0)</f>
        <v>0</v>
      </c>
      <c r="L143" s="13"/>
      <c r="M143" s="20">
        <f>IF(A143="","",MONTH(A143))</f>
        <v>5</v>
      </c>
    </row>
    <row r="144" spans="1:13" x14ac:dyDescent="0.25">
      <c r="A144" s="18">
        <f>IF(YEAR(DATE('Configurações'!$B$5,1,1)+139)='Configurações'!$B$5,DATE('Configurações'!$B$5,1,1)+139,"")</f>
        <v>46527</v>
      </c>
      <c r="B144" s="19">
        <f>A144</f>
        <v>46527</v>
      </c>
      <c r="C144" s="20" t="str">
        <f>IF(A144="","",IF(COUNTIF('Feriados'!$A$5:$A$84,A144)&gt;0,"Feriado",IF(WEEKDAY(A144,2)&gt;5,"Fim de semana","Dia útil")))</f>
        <v>Dia útil</v>
      </c>
      <c r="D144" s="21"/>
      <c r="E144" s="21"/>
      <c r="F144" s="14"/>
      <c r="G144" s="13"/>
      <c r="H144" s="22">
        <f>IF(AND(ISNUMBER(D144),ISNUMBER(E144)),ROUND(MOD(E144-D144,1)*24-N(F144)/60,2),0)</f>
        <v>0</v>
      </c>
      <c r="I144" s="22">
        <f>IF(C144="Dia útil",'Configurações'!$B$6,0)</f>
        <v>8</v>
      </c>
      <c r="J144" s="22">
        <f>H144+IF(OR(G144="Férias",G144="Atestado médico",G144="Consulta médica",G144="Folga de banco de horas",G144="Viagem a trabalho"),I144,IF(G144="Meio dia de férias",I144/2,0))</f>
        <v>0</v>
      </c>
      <c r="K144" s="23">
        <f>IF(OR(H144&gt;0,G144&lt;&gt;""),J144-I144,0)</f>
        <v>0</v>
      </c>
      <c r="L144" s="13"/>
      <c r="M144" s="20">
        <f>IF(A144="","",MONTH(A144))</f>
        <v>5</v>
      </c>
    </row>
    <row r="145" spans="1:13" x14ac:dyDescent="0.25">
      <c r="A145" s="18">
        <f>IF(YEAR(DATE('Configurações'!$B$5,1,1)+140)='Configurações'!$B$5,DATE('Configurações'!$B$5,1,1)+140,"")</f>
        <v>46528</v>
      </c>
      <c r="B145" s="19">
        <f>A145</f>
        <v>46528</v>
      </c>
      <c r="C145" s="20" t="str">
        <f>IF(A145="","",IF(COUNTIF('Feriados'!$A$5:$A$84,A145)&gt;0,"Feriado",IF(WEEKDAY(A145,2)&gt;5,"Fim de semana","Dia útil")))</f>
        <v>Dia útil</v>
      </c>
      <c r="D145" s="21"/>
      <c r="E145" s="21"/>
      <c r="F145" s="14"/>
      <c r="G145" s="13"/>
      <c r="H145" s="22">
        <f>IF(AND(ISNUMBER(D145),ISNUMBER(E145)),ROUND(MOD(E145-D145,1)*24-N(F145)/60,2),0)</f>
        <v>0</v>
      </c>
      <c r="I145" s="22">
        <f>IF(C145="Dia útil",'Configurações'!$B$6,0)</f>
        <v>8</v>
      </c>
      <c r="J145" s="22">
        <f>H145+IF(OR(G145="Férias",G145="Atestado médico",G145="Consulta médica",G145="Folga de banco de horas",G145="Viagem a trabalho"),I145,IF(G145="Meio dia de férias",I145/2,0))</f>
        <v>0</v>
      </c>
      <c r="K145" s="23">
        <f>IF(OR(H145&gt;0,G145&lt;&gt;""),J145-I145,0)</f>
        <v>0</v>
      </c>
      <c r="L145" s="13"/>
      <c r="M145" s="20">
        <f>IF(A145="","",MONTH(A145))</f>
        <v>5</v>
      </c>
    </row>
    <row r="146" spans="1:13" x14ac:dyDescent="0.25">
      <c r="A146" s="18">
        <f>IF(YEAR(DATE('Configurações'!$B$5,1,1)+141)='Configurações'!$B$5,DATE('Configurações'!$B$5,1,1)+141,"")</f>
        <v>46529</v>
      </c>
      <c r="B146" s="19">
        <f>A146</f>
        <v>46529</v>
      </c>
      <c r="C146" s="20" t="str">
        <f>IF(A146="","",IF(COUNTIF('Feriados'!$A$5:$A$84,A146)&gt;0,"Feriado",IF(WEEKDAY(A146,2)&gt;5,"Fim de semana","Dia útil")))</f>
        <v>Fim de semana</v>
      </c>
      <c r="D146" s="21"/>
      <c r="E146" s="21"/>
      <c r="F146" s="14"/>
      <c r="G146" s="13"/>
      <c r="H146" s="22">
        <f>IF(AND(ISNUMBER(D146),ISNUMBER(E146)),ROUND(MOD(E146-D146,1)*24-N(F146)/60,2),0)</f>
        <v>0</v>
      </c>
      <c r="I146" s="22">
        <f>IF(C146="Dia útil",'Configurações'!$B$6,0)</f>
        <v>0</v>
      </c>
      <c r="J146" s="22">
        <f>H146+IF(OR(G146="Férias",G146="Atestado médico",G146="Consulta médica",G146="Folga de banco de horas",G146="Viagem a trabalho"),I146,IF(G146="Meio dia de férias",I146/2,0))</f>
        <v>0</v>
      </c>
      <c r="K146" s="23">
        <f>IF(OR(H146&gt;0,G146&lt;&gt;""),J146-I146,0)</f>
        <v>0</v>
      </c>
      <c r="L146" s="13"/>
      <c r="M146" s="20">
        <f>IF(A146="","",MONTH(A146))</f>
        <v>5</v>
      </c>
    </row>
    <row r="147" spans="1:13" x14ac:dyDescent="0.25">
      <c r="A147" s="18">
        <f>IF(YEAR(DATE('Configurações'!$B$5,1,1)+142)='Configurações'!$B$5,DATE('Configurações'!$B$5,1,1)+142,"")</f>
        <v>46530</v>
      </c>
      <c r="B147" s="19">
        <f>A147</f>
        <v>46530</v>
      </c>
      <c r="C147" s="20" t="str">
        <f>IF(A147="","",IF(COUNTIF('Feriados'!$A$5:$A$84,A147)&gt;0,"Feriado",IF(WEEKDAY(A147,2)&gt;5,"Fim de semana","Dia útil")))</f>
        <v>Fim de semana</v>
      </c>
      <c r="D147" s="21"/>
      <c r="E147" s="21"/>
      <c r="F147" s="14"/>
      <c r="G147" s="13"/>
      <c r="H147" s="22">
        <f>IF(AND(ISNUMBER(D147),ISNUMBER(E147)),ROUND(MOD(E147-D147,1)*24-N(F147)/60,2),0)</f>
        <v>0</v>
      </c>
      <c r="I147" s="22">
        <f>IF(C147="Dia útil",'Configurações'!$B$6,0)</f>
        <v>0</v>
      </c>
      <c r="J147" s="22">
        <f>H147+IF(OR(G147="Férias",G147="Atestado médico",G147="Consulta médica",G147="Folga de banco de horas",G147="Viagem a trabalho"),I147,IF(G147="Meio dia de férias",I147/2,0))</f>
        <v>0</v>
      </c>
      <c r="K147" s="23">
        <f>IF(OR(H147&gt;0,G147&lt;&gt;""),J147-I147,0)</f>
        <v>0</v>
      </c>
      <c r="L147" s="13"/>
      <c r="M147" s="20">
        <f>IF(A147="","",MONTH(A147))</f>
        <v>5</v>
      </c>
    </row>
    <row r="148" spans="1:13" x14ac:dyDescent="0.25">
      <c r="A148" s="18">
        <f>IF(YEAR(DATE('Configurações'!$B$5,1,1)+143)='Configurações'!$B$5,DATE('Configurações'!$B$5,1,1)+143,"")</f>
        <v>46531</v>
      </c>
      <c r="B148" s="19">
        <f>A148</f>
        <v>46531</v>
      </c>
      <c r="C148" s="20" t="str">
        <f>IF(A148="","",IF(COUNTIF('Feriados'!$A$5:$A$84,A148)&gt;0,"Feriado",IF(WEEKDAY(A148,2)&gt;5,"Fim de semana","Dia útil")))</f>
        <v>Dia útil</v>
      </c>
      <c r="D148" s="21"/>
      <c r="E148" s="21"/>
      <c r="F148" s="14"/>
      <c r="G148" s="13"/>
      <c r="H148" s="22">
        <f>IF(AND(ISNUMBER(D148),ISNUMBER(E148)),ROUND(MOD(E148-D148,1)*24-N(F148)/60,2),0)</f>
        <v>0</v>
      </c>
      <c r="I148" s="22">
        <f>IF(C148="Dia útil",'Configurações'!$B$6,0)</f>
        <v>8</v>
      </c>
      <c r="J148" s="22">
        <f>H148+IF(OR(G148="Férias",G148="Atestado médico",G148="Consulta médica",G148="Folga de banco de horas",G148="Viagem a trabalho"),I148,IF(G148="Meio dia de férias",I148/2,0))</f>
        <v>0</v>
      </c>
      <c r="K148" s="23">
        <f>IF(OR(H148&gt;0,G148&lt;&gt;""),J148-I148,0)</f>
        <v>0</v>
      </c>
      <c r="L148" s="13"/>
      <c r="M148" s="20">
        <f>IF(A148="","",MONTH(A148))</f>
        <v>5</v>
      </c>
    </row>
    <row r="149" spans="1:13" x14ac:dyDescent="0.25">
      <c r="A149" s="18">
        <f>IF(YEAR(DATE('Configurações'!$B$5,1,1)+144)='Configurações'!$B$5,DATE('Configurações'!$B$5,1,1)+144,"")</f>
        <v>46532</v>
      </c>
      <c r="B149" s="19">
        <f>A149</f>
        <v>46532</v>
      </c>
      <c r="C149" s="20" t="str">
        <f>IF(A149="","",IF(COUNTIF('Feriados'!$A$5:$A$84,A149)&gt;0,"Feriado",IF(WEEKDAY(A149,2)&gt;5,"Fim de semana","Dia útil")))</f>
        <v>Dia útil</v>
      </c>
      <c r="D149" s="21"/>
      <c r="E149" s="21"/>
      <c r="F149" s="14"/>
      <c r="G149" s="13"/>
      <c r="H149" s="22">
        <f>IF(AND(ISNUMBER(D149),ISNUMBER(E149)),ROUND(MOD(E149-D149,1)*24-N(F149)/60,2),0)</f>
        <v>0</v>
      </c>
      <c r="I149" s="22">
        <f>IF(C149="Dia útil",'Configurações'!$B$6,0)</f>
        <v>8</v>
      </c>
      <c r="J149" s="22">
        <f>H149+IF(OR(G149="Férias",G149="Atestado médico",G149="Consulta médica",G149="Folga de banco de horas",G149="Viagem a trabalho"),I149,IF(G149="Meio dia de férias",I149/2,0))</f>
        <v>0</v>
      </c>
      <c r="K149" s="23">
        <f>IF(OR(H149&gt;0,G149&lt;&gt;""),J149-I149,0)</f>
        <v>0</v>
      </c>
      <c r="L149" s="13"/>
      <c r="M149" s="20">
        <f>IF(A149="","",MONTH(A149))</f>
        <v>5</v>
      </c>
    </row>
    <row r="150" spans="1:13" x14ac:dyDescent="0.25">
      <c r="A150" s="18">
        <f>IF(YEAR(DATE('Configurações'!$B$5,1,1)+145)='Configurações'!$B$5,DATE('Configurações'!$B$5,1,1)+145,"")</f>
        <v>46533</v>
      </c>
      <c r="B150" s="19">
        <f>A150</f>
        <v>46533</v>
      </c>
      <c r="C150" s="20" t="str">
        <f>IF(A150="","",IF(COUNTIF('Feriados'!$A$5:$A$84,A150)&gt;0,"Feriado",IF(WEEKDAY(A150,2)&gt;5,"Fim de semana","Dia útil")))</f>
        <v>Dia útil</v>
      </c>
      <c r="D150" s="21"/>
      <c r="E150" s="21"/>
      <c r="F150" s="14"/>
      <c r="G150" s="13"/>
      <c r="H150" s="22">
        <f>IF(AND(ISNUMBER(D150),ISNUMBER(E150)),ROUND(MOD(E150-D150,1)*24-N(F150)/60,2),0)</f>
        <v>0</v>
      </c>
      <c r="I150" s="22">
        <f>IF(C150="Dia útil",'Configurações'!$B$6,0)</f>
        <v>8</v>
      </c>
      <c r="J150" s="22">
        <f>H150+IF(OR(G150="Férias",G150="Atestado médico",G150="Consulta médica",G150="Folga de banco de horas",G150="Viagem a trabalho"),I150,IF(G150="Meio dia de férias",I150/2,0))</f>
        <v>0</v>
      </c>
      <c r="K150" s="23">
        <f>IF(OR(H150&gt;0,G150&lt;&gt;""),J150-I150,0)</f>
        <v>0</v>
      </c>
      <c r="L150" s="13"/>
      <c r="M150" s="20">
        <f>IF(A150="","",MONTH(A150))</f>
        <v>5</v>
      </c>
    </row>
    <row r="151" spans="1:13" x14ac:dyDescent="0.25">
      <c r="A151" s="18">
        <f>IF(YEAR(DATE('Configurações'!$B$5,1,1)+146)='Configurações'!$B$5,DATE('Configurações'!$B$5,1,1)+146,"")</f>
        <v>46534</v>
      </c>
      <c r="B151" s="19">
        <f>A151</f>
        <v>46534</v>
      </c>
      <c r="C151" s="20" t="str">
        <f>IF(A151="","",IF(COUNTIF('Feriados'!$A$5:$A$84,A151)&gt;0,"Feriado",IF(WEEKDAY(A151,2)&gt;5,"Fim de semana","Dia útil")))</f>
        <v>Dia útil</v>
      </c>
      <c r="D151" s="21"/>
      <c r="E151" s="21"/>
      <c r="F151" s="14"/>
      <c r="G151" s="13"/>
      <c r="H151" s="22">
        <f>IF(AND(ISNUMBER(D151),ISNUMBER(E151)),ROUND(MOD(E151-D151,1)*24-N(F151)/60,2),0)</f>
        <v>0</v>
      </c>
      <c r="I151" s="22">
        <f>IF(C151="Dia útil",'Configurações'!$B$6,0)</f>
        <v>8</v>
      </c>
      <c r="J151" s="22">
        <f>H151+IF(OR(G151="Férias",G151="Atestado médico",G151="Consulta médica",G151="Folga de banco de horas",G151="Viagem a trabalho"),I151,IF(G151="Meio dia de férias",I151/2,0))</f>
        <v>0</v>
      </c>
      <c r="K151" s="23">
        <f>IF(OR(H151&gt;0,G151&lt;&gt;""),J151-I151,0)</f>
        <v>0</v>
      </c>
      <c r="L151" s="13"/>
      <c r="M151" s="20">
        <f>IF(A151="","",MONTH(A151))</f>
        <v>5</v>
      </c>
    </row>
    <row r="152" spans="1:13" x14ac:dyDescent="0.25">
      <c r="A152" s="18">
        <f>IF(YEAR(DATE('Configurações'!$B$5,1,1)+147)='Configurações'!$B$5,DATE('Configurações'!$B$5,1,1)+147,"")</f>
        <v>46535</v>
      </c>
      <c r="B152" s="19">
        <f>A152</f>
        <v>46535</v>
      </c>
      <c r="C152" s="20" t="str">
        <f>IF(A152="","",IF(COUNTIF('Feriados'!$A$5:$A$84,A152)&gt;0,"Feriado",IF(WEEKDAY(A152,2)&gt;5,"Fim de semana","Dia útil")))</f>
        <v>Dia útil</v>
      </c>
      <c r="D152" s="21"/>
      <c r="E152" s="21"/>
      <c r="F152" s="14"/>
      <c r="G152" s="13"/>
      <c r="H152" s="22">
        <f>IF(AND(ISNUMBER(D152),ISNUMBER(E152)),ROUND(MOD(E152-D152,1)*24-N(F152)/60,2),0)</f>
        <v>0</v>
      </c>
      <c r="I152" s="22">
        <f>IF(C152="Dia útil",'Configurações'!$B$6,0)</f>
        <v>8</v>
      </c>
      <c r="J152" s="22">
        <f>H152+IF(OR(G152="Férias",G152="Atestado médico",G152="Consulta médica",G152="Folga de banco de horas",G152="Viagem a trabalho"),I152,IF(G152="Meio dia de férias",I152/2,0))</f>
        <v>0</v>
      </c>
      <c r="K152" s="23">
        <f>IF(OR(H152&gt;0,G152&lt;&gt;""),J152-I152,0)</f>
        <v>0</v>
      </c>
      <c r="L152" s="13"/>
      <c r="M152" s="20">
        <f>IF(A152="","",MONTH(A152))</f>
        <v>5</v>
      </c>
    </row>
    <row r="153" spans="1:13" x14ac:dyDescent="0.25">
      <c r="A153" s="18">
        <f>IF(YEAR(DATE('Configurações'!$B$5,1,1)+148)='Configurações'!$B$5,DATE('Configurações'!$B$5,1,1)+148,"")</f>
        <v>46536</v>
      </c>
      <c r="B153" s="19">
        <f>A153</f>
        <v>46536</v>
      </c>
      <c r="C153" s="20" t="str">
        <f>IF(A153="","",IF(COUNTIF('Feriados'!$A$5:$A$84,A153)&gt;0,"Feriado",IF(WEEKDAY(A153,2)&gt;5,"Fim de semana","Dia útil")))</f>
        <v>Fim de semana</v>
      </c>
      <c r="D153" s="21"/>
      <c r="E153" s="21"/>
      <c r="F153" s="14"/>
      <c r="G153" s="13"/>
      <c r="H153" s="22">
        <f>IF(AND(ISNUMBER(D153),ISNUMBER(E153)),ROUND(MOD(E153-D153,1)*24-N(F153)/60,2),0)</f>
        <v>0</v>
      </c>
      <c r="I153" s="22">
        <f>IF(C153="Dia útil",'Configurações'!$B$6,0)</f>
        <v>0</v>
      </c>
      <c r="J153" s="22">
        <f>H153+IF(OR(G153="Férias",G153="Atestado médico",G153="Consulta médica",G153="Folga de banco de horas",G153="Viagem a trabalho"),I153,IF(G153="Meio dia de férias",I153/2,0))</f>
        <v>0</v>
      </c>
      <c r="K153" s="23">
        <f>IF(OR(H153&gt;0,G153&lt;&gt;""),J153-I153,0)</f>
        <v>0</v>
      </c>
      <c r="L153" s="13"/>
      <c r="M153" s="20">
        <f>IF(A153="","",MONTH(A153))</f>
        <v>5</v>
      </c>
    </row>
    <row r="154" spans="1:13" x14ac:dyDescent="0.25">
      <c r="A154" s="18">
        <f>IF(YEAR(DATE('Configurações'!$B$5,1,1)+149)='Configurações'!$B$5,DATE('Configurações'!$B$5,1,1)+149,"")</f>
        <v>46537</v>
      </c>
      <c r="B154" s="19">
        <f>A154</f>
        <v>46537</v>
      </c>
      <c r="C154" s="20" t="str">
        <f>IF(A154="","",IF(COUNTIF('Feriados'!$A$5:$A$84,A154)&gt;0,"Feriado",IF(WEEKDAY(A154,2)&gt;5,"Fim de semana","Dia útil")))</f>
        <v>Fim de semana</v>
      </c>
      <c r="D154" s="21"/>
      <c r="E154" s="21"/>
      <c r="F154" s="14"/>
      <c r="G154" s="13"/>
      <c r="H154" s="22">
        <f>IF(AND(ISNUMBER(D154),ISNUMBER(E154)),ROUND(MOD(E154-D154,1)*24-N(F154)/60,2),0)</f>
        <v>0</v>
      </c>
      <c r="I154" s="22">
        <f>IF(C154="Dia útil",'Configurações'!$B$6,0)</f>
        <v>0</v>
      </c>
      <c r="J154" s="22">
        <f>H154+IF(OR(G154="Férias",G154="Atestado médico",G154="Consulta médica",G154="Folga de banco de horas",G154="Viagem a trabalho"),I154,IF(G154="Meio dia de férias",I154/2,0))</f>
        <v>0</v>
      </c>
      <c r="K154" s="23">
        <f>IF(OR(H154&gt;0,G154&lt;&gt;""),J154-I154,0)</f>
        <v>0</v>
      </c>
      <c r="L154" s="13"/>
      <c r="M154" s="20">
        <f>IF(A154="","",MONTH(A154))</f>
        <v>5</v>
      </c>
    </row>
    <row r="155" spans="1:13" x14ac:dyDescent="0.25">
      <c r="A155" s="18">
        <f>IF(YEAR(DATE('Configurações'!$B$5,1,1)+150)='Configurações'!$B$5,DATE('Configurações'!$B$5,1,1)+150,"")</f>
        <v>46538</v>
      </c>
      <c r="B155" s="19">
        <f>A155</f>
        <v>46538</v>
      </c>
      <c r="C155" s="20" t="str">
        <f>IF(A155="","",IF(COUNTIF('Feriados'!$A$5:$A$84,A155)&gt;0,"Feriado",IF(WEEKDAY(A155,2)&gt;5,"Fim de semana","Dia útil")))</f>
        <v>Dia útil</v>
      </c>
      <c r="D155" s="21"/>
      <c r="E155" s="21"/>
      <c r="F155" s="14"/>
      <c r="G155" s="13"/>
      <c r="H155" s="22">
        <f>IF(AND(ISNUMBER(D155),ISNUMBER(E155)),ROUND(MOD(E155-D155,1)*24-N(F155)/60,2),0)</f>
        <v>0</v>
      </c>
      <c r="I155" s="22">
        <f>IF(C155="Dia útil",'Configurações'!$B$6,0)</f>
        <v>8</v>
      </c>
      <c r="J155" s="22">
        <f>H155+IF(OR(G155="Férias",G155="Atestado médico",G155="Consulta médica",G155="Folga de banco de horas",G155="Viagem a trabalho"),I155,IF(G155="Meio dia de férias",I155/2,0))</f>
        <v>0</v>
      </c>
      <c r="K155" s="23">
        <f>IF(OR(H155&gt;0,G155&lt;&gt;""),J155-I155,0)</f>
        <v>0</v>
      </c>
      <c r="L155" s="13"/>
      <c r="M155" s="20">
        <f>IF(A155="","",MONTH(A155))</f>
        <v>5</v>
      </c>
    </row>
    <row r="156" spans="1:13" x14ac:dyDescent="0.25">
      <c r="A156" s="18">
        <f>IF(YEAR(DATE('Configurações'!$B$5,1,1)+151)='Configurações'!$B$5,DATE('Configurações'!$B$5,1,1)+151,"")</f>
        <v>46539</v>
      </c>
      <c r="B156" s="19">
        <f>A156</f>
        <v>46539</v>
      </c>
      <c r="C156" s="20" t="str">
        <f>IF(A156="","",IF(COUNTIF('Feriados'!$A$5:$A$84,A156)&gt;0,"Feriado",IF(WEEKDAY(A156,2)&gt;5,"Fim de semana","Dia útil")))</f>
        <v>Dia útil</v>
      </c>
      <c r="D156" s="21"/>
      <c r="E156" s="21"/>
      <c r="F156" s="14"/>
      <c r="G156" s="13"/>
      <c r="H156" s="22">
        <f>IF(AND(ISNUMBER(D156),ISNUMBER(E156)),ROUND(MOD(E156-D156,1)*24-N(F156)/60,2),0)</f>
        <v>0</v>
      </c>
      <c r="I156" s="22">
        <f>IF(C156="Dia útil",'Configurações'!$B$6,0)</f>
        <v>8</v>
      </c>
      <c r="J156" s="22">
        <f>H156+IF(OR(G156="Férias",G156="Atestado médico",G156="Consulta médica",G156="Folga de banco de horas",G156="Viagem a trabalho"),I156,IF(G156="Meio dia de férias",I156/2,0))</f>
        <v>0</v>
      </c>
      <c r="K156" s="23">
        <f>IF(OR(H156&gt;0,G156&lt;&gt;""),J156-I156,0)</f>
        <v>0</v>
      </c>
      <c r="L156" s="13"/>
      <c r="M156" s="20">
        <f>IF(A156="","",MONTH(A156))</f>
        <v>6</v>
      </c>
    </row>
    <row r="157" spans="1:13" x14ac:dyDescent="0.25">
      <c r="A157" s="18">
        <f>IF(YEAR(DATE('Configurações'!$B$5,1,1)+152)='Configurações'!$B$5,DATE('Configurações'!$B$5,1,1)+152,"")</f>
        <v>46540</v>
      </c>
      <c r="B157" s="19">
        <f>A157</f>
        <v>46540</v>
      </c>
      <c r="C157" s="20" t="str">
        <f>IF(A157="","",IF(COUNTIF('Feriados'!$A$5:$A$84,A157)&gt;0,"Feriado",IF(WEEKDAY(A157,2)&gt;5,"Fim de semana","Dia útil")))</f>
        <v>Dia útil</v>
      </c>
      <c r="D157" s="21"/>
      <c r="E157" s="21"/>
      <c r="F157" s="14"/>
      <c r="G157" s="13"/>
      <c r="H157" s="22">
        <f>IF(AND(ISNUMBER(D157),ISNUMBER(E157)),ROUND(MOD(E157-D157,1)*24-N(F157)/60,2),0)</f>
        <v>0</v>
      </c>
      <c r="I157" s="22">
        <f>IF(C157="Dia útil",'Configurações'!$B$6,0)</f>
        <v>8</v>
      </c>
      <c r="J157" s="22">
        <f>H157+IF(OR(G157="Férias",G157="Atestado médico",G157="Consulta médica",G157="Folga de banco de horas",G157="Viagem a trabalho"),I157,IF(G157="Meio dia de férias",I157/2,0))</f>
        <v>0</v>
      </c>
      <c r="K157" s="23">
        <f>IF(OR(H157&gt;0,G157&lt;&gt;""),J157-I157,0)</f>
        <v>0</v>
      </c>
      <c r="L157" s="13"/>
      <c r="M157" s="20">
        <f>IF(A157="","",MONTH(A157))</f>
        <v>6</v>
      </c>
    </row>
    <row r="158" spans="1:13" x14ac:dyDescent="0.25">
      <c r="A158" s="18">
        <f>IF(YEAR(DATE('Configurações'!$B$5,1,1)+153)='Configurações'!$B$5,DATE('Configurações'!$B$5,1,1)+153,"")</f>
        <v>46541</v>
      </c>
      <c r="B158" s="19">
        <f>A158</f>
        <v>46541</v>
      </c>
      <c r="C158" s="20" t="str">
        <f>IF(A158="","",IF(COUNTIF('Feriados'!$A$5:$A$84,A158)&gt;0,"Feriado",IF(WEEKDAY(A158,2)&gt;5,"Fim de semana","Dia útil")))</f>
        <v>Dia útil</v>
      </c>
      <c r="D158" s="21"/>
      <c r="E158" s="21"/>
      <c r="F158" s="14"/>
      <c r="G158" s="13"/>
      <c r="H158" s="22">
        <f>IF(AND(ISNUMBER(D158),ISNUMBER(E158)),ROUND(MOD(E158-D158,1)*24-N(F158)/60,2),0)</f>
        <v>0</v>
      </c>
      <c r="I158" s="22">
        <f>IF(C158="Dia útil",'Configurações'!$B$6,0)</f>
        <v>8</v>
      </c>
      <c r="J158" s="22">
        <f>H158+IF(OR(G158="Férias",G158="Atestado médico",G158="Consulta médica",G158="Folga de banco de horas",G158="Viagem a trabalho"),I158,IF(G158="Meio dia de férias",I158/2,0))</f>
        <v>0</v>
      </c>
      <c r="K158" s="23">
        <f>IF(OR(H158&gt;0,G158&lt;&gt;""),J158-I158,0)</f>
        <v>0</v>
      </c>
      <c r="L158" s="13"/>
      <c r="M158" s="20">
        <f>IF(A158="","",MONTH(A158))</f>
        <v>6</v>
      </c>
    </row>
    <row r="159" spans="1:13" x14ac:dyDescent="0.25">
      <c r="A159" s="18">
        <f>IF(YEAR(DATE('Configurações'!$B$5,1,1)+154)='Configurações'!$B$5,DATE('Configurações'!$B$5,1,1)+154,"")</f>
        <v>46542</v>
      </c>
      <c r="B159" s="19">
        <f>A159</f>
        <v>46542</v>
      </c>
      <c r="C159" s="20" t="str">
        <f>IF(A159="","",IF(COUNTIF('Feriados'!$A$5:$A$84,A159)&gt;0,"Feriado",IF(WEEKDAY(A159,2)&gt;5,"Fim de semana","Dia útil")))</f>
        <v>Dia útil</v>
      </c>
      <c r="D159" s="21"/>
      <c r="E159" s="21"/>
      <c r="F159" s="14"/>
      <c r="G159" s="13"/>
      <c r="H159" s="22">
        <f>IF(AND(ISNUMBER(D159),ISNUMBER(E159)),ROUND(MOD(E159-D159,1)*24-N(F159)/60,2),0)</f>
        <v>0</v>
      </c>
      <c r="I159" s="22">
        <f>IF(C159="Dia útil",'Configurações'!$B$6,0)</f>
        <v>8</v>
      </c>
      <c r="J159" s="22">
        <f>H159+IF(OR(G159="Férias",G159="Atestado médico",G159="Consulta médica",G159="Folga de banco de horas",G159="Viagem a trabalho"),I159,IF(G159="Meio dia de férias",I159/2,0))</f>
        <v>0</v>
      </c>
      <c r="K159" s="23">
        <f>IF(OR(H159&gt;0,G159&lt;&gt;""),J159-I159,0)</f>
        <v>0</v>
      </c>
      <c r="L159" s="13"/>
      <c r="M159" s="20">
        <f>IF(A159="","",MONTH(A159))</f>
        <v>6</v>
      </c>
    </row>
    <row r="160" spans="1:13" x14ac:dyDescent="0.25">
      <c r="A160" s="18">
        <f>IF(YEAR(DATE('Configurações'!$B$5,1,1)+155)='Configurações'!$B$5,DATE('Configurações'!$B$5,1,1)+155,"")</f>
        <v>46543</v>
      </c>
      <c r="B160" s="19">
        <f>A160</f>
        <v>46543</v>
      </c>
      <c r="C160" s="20" t="str">
        <f>IF(A160="","",IF(COUNTIF('Feriados'!$A$5:$A$84,A160)&gt;0,"Feriado",IF(WEEKDAY(A160,2)&gt;5,"Fim de semana","Dia útil")))</f>
        <v>Fim de semana</v>
      </c>
      <c r="D160" s="21"/>
      <c r="E160" s="21"/>
      <c r="F160" s="14"/>
      <c r="G160" s="13"/>
      <c r="H160" s="22">
        <f>IF(AND(ISNUMBER(D160),ISNUMBER(E160)),ROUND(MOD(E160-D160,1)*24-N(F160)/60,2),0)</f>
        <v>0</v>
      </c>
      <c r="I160" s="22">
        <f>IF(C160="Dia útil",'Configurações'!$B$6,0)</f>
        <v>0</v>
      </c>
      <c r="J160" s="22">
        <f>H160+IF(OR(G160="Férias",G160="Atestado médico",G160="Consulta médica",G160="Folga de banco de horas",G160="Viagem a trabalho"),I160,IF(G160="Meio dia de férias",I160/2,0))</f>
        <v>0</v>
      </c>
      <c r="K160" s="23">
        <f>IF(OR(H160&gt;0,G160&lt;&gt;""),J160-I160,0)</f>
        <v>0</v>
      </c>
      <c r="L160" s="13"/>
      <c r="M160" s="20">
        <f>IF(A160="","",MONTH(A160))</f>
        <v>6</v>
      </c>
    </row>
    <row r="161" spans="1:13" x14ac:dyDescent="0.25">
      <c r="A161" s="18">
        <f>IF(YEAR(DATE('Configurações'!$B$5,1,1)+156)='Configurações'!$B$5,DATE('Configurações'!$B$5,1,1)+156,"")</f>
        <v>46544</v>
      </c>
      <c r="B161" s="19">
        <f>A161</f>
        <v>46544</v>
      </c>
      <c r="C161" s="20" t="str">
        <f>IF(A161="","",IF(COUNTIF('Feriados'!$A$5:$A$84,A161)&gt;0,"Feriado",IF(WEEKDAY(A161,2)&gt;5,"Fim de semana","Dia útil")))</f>
        <v>Fim de semana</v>
      </c>
      <c r="D161" s="21"/>
      <c r="E161" s="21"/>
      <c r="F161" s="14"/>
      <c r="G161" s="13"/>
      <c r="H161" s="22">
        <f>IF(AND(ISNUMBER(D161),ISNUMBER(E161)),ROUND(MOD(E161-D161,1)*24-N(F161)/60,2),0)</f>
        <v>0</v>
      </c>
      <c r="I161" s="22">
        <f>IF(C161="Dia útil",'Configurações'!$B$6,0)</f>
        <v>0</v>
      </c>
      <c r="J161" s="22">
        <f>H161+IF(OR(G161="Férias",G161="Atestado médico",G161="Consulta médica",G161="Folga de banco de horas",G161="Viagem a trabalho"),I161,IF(G161="Meio dia de férias",I161/2,0))</f>
        <v>0</v>
      </c>
      <c r="K161" s="23">
        <f>IF(OR(H161&gt;0,G161&lt;&gt;""),J161-I161,0)</f>
        <v>0</v>
      </c>
      <c r="L161" s="13"/>
      <c r="M161" s="20">
        <f>IF(A161="","",MONTH(A161))</f>
        <v>6</v>
      </c>
    </row>
    <row r="162" spans="1:13" x14ac:dyDescent="0.25">
      <c r="A162" s="18">
        <f>IF(YEAR(DATE('Configurações'!$B$5,1,1)+157)='Configurações'!$B$5,DATE('Configurações'!$B$5,1,1)+157,"")</f>
        <v>46545</v>
      </c>
      <c r="B162" s="19">
        <f>A162</f>
        <v>46545</v>
      </c>
      <c r="C162" s="20" t="str">
        <f>IF(A162="","",IF(COUNTIF('Feriados'!$A$5:$A$84,A162)&gt;0,"Feriado",IF(WEEKDAY(A162,2)&gt;5,"Fim de semana","Dia útil")))</f>
        <v>Dia útil</v>
      </c>
      <c r="D162" s="21"/>
      <c r="E162" s="21"/>
      <c r="F162" s="14"/>
      <c r="G162" s="13"/>
      <c r="H162" s="22">
        <f>IF(AND(ISNUMBER(D162),ISNUMBER(E162)),ROUND(MOD(E162-D162,1)*24-N(F162)/60,2),0)</f>
        <v>0</v>
      </c>
      <c r="I162" s="22">
        <f>IF(C162="Dia útil",'Configurações'!$B$6,0)</f>
        <v>8</v>
      </c>
      <c r="J162" s="22">
        <f>H162+IF(OR(G162="Férias",G162="Atestado médico",G162="Consulta médica",G162="Folga de banco de horas",G162="Viagem a trabalho"),I162,IF(G162="Meio dia de férias",I162/2,0))</f>
        <v>0</v>
      </c>
      <c r="K162" s="23">
        <f>IF(OR(H162&gt;0,G162&lt;&gt;""),J162-I162,0)</f>
        <v>0</v>
      </c>
      <c r="L162" s="13"/>
      <c r="M162" s="20">
        <f>IF(A162="","",MONTH(A162))</f>
        <v>6</v>
      </c>
    </row>
    <row r="163" spans="1:13" x14ac:dyDescent="0.25">
      <c r="A163" s="18">
        <f>IF(YEAR(DATE('Configurações'!$B$5,1,1)+158)='Configurações'!$B$5,DATE('Configurações'!$B$5,1,1)+158,"")</f>
        <v>46546</v>
      </c>
      <c r="B163" s="19">
        <f>A163</f>
        <v>46546</v>
      </c>
      <c r="C163" s="20" t="str">
        <f>IF(A163="","",IF(COUNTIF('Feriados'!$A$5:$A$84,A163)&gt;0,"Feriado",IF(WEEKDAY(A163,2)&gt;5,"Fim de semana","Dia útil")))</f>
        <v>Dia útil</v>
      </c>
      <c r="D163" s="21"/>
      <c r="E163" s="21"/>
      <c r="F163" s="14"/>
      <c r="G163" s="13"/>
      <c r="H163" s="22">
        <f>IF(AND(ISNUMBER(D163),ISNUMBER(E163)),ROUND(MOD(E163-D163,1)*24-N(F163)/60,2),0)</f>
        <v>0</v>
      </c>
      <c r="I163" s="22">
        <f>IF(C163="Dia útil",'Configurações'!$B$6,0)</f>
        <v>8</v>
      </c>
      <c r="J163" s="22">
        <f>H163+IF(OR(G163="Férias",G163="Atestado médico",G163="Consulta médica",G163="Folga de banco de horas",G163="Viagem a trabalho"),I163,IF(G163="Meio dia de férias",I163/2,0))</f>
        <v>0</v>
      </c>
      <c r="K163" s="23">
        <f>IF(OR(H163&gt;0,G163&lt;&gt;""),J163-I163,0)</f>
        <v>0</v>
      </c>
      <c r="L163" s="13"/>
      <c r="M163" s="20">
        <f>IF(A163="","",MONTH(A163))</f>
        <v>6</v>
      </c>
    </row>
    <row r="164" spans="1:13" x14ac:dyDescent="0.25">
      <c r="A164" s="18">
        <f>IF(YEAR(DATE('Configurações'!$B$5,1,1)+159)='Configurações'!$B$5,DATE('Configurações'!$B$5,1,1)+159,"")</f>
        <v>46547</v>
      </c>
      <c r="B164" s="19">
        <f>A164</f>
        <v>46547</v>
      </c>
      <c r="C164" s="20" t="str">
        <f>IF(A164="","",IF(COUNTIF('Feriados'!$A$5:$A$84,A164)&gt;0,"Feriado",IF(WEEKDAY(A164,2)&gt;5,"Fim de semana","Dia útil")))</f>
        <v>Dia útil</v>
      </c>
      <c r="D164" s="21"/>
      <c r="E164" s="21"/>
      <c r="F164" s="14"/>
      <c r="G164" s="13"/>
      <c r="H164" s="22">
        <f>IF(AND(ISNUMBER(D164),ISNUMBER(E164)),ROUND(MOD(E164-D164,1)*24-N(F164)/60,2),0)</f>
        <v>0</v>
      </c>
      <c r="I164" s="22">
        <f>IF(C164="Dia útil",'Configurações'!$B$6,0)</f>
        <v>8</v>
      </c>
      <c r="J164" s="22">
        <f>H164+IF(OR(G164="Férias",G164="Atestado médico",G164="Consulta médica",G164="Folga de banco de horas",G164="Viagem a trabalho"),I164,IF(G164="Meio dia de férias",I164/2,0))</f>
        <v>0</v>
      </c>
      <c r="K164" s="23">
        <f>IF(OR(H164&gt;0,G164&lt;&gt;""),J164-I164,0)</f>
        <v>0</v>
      </c>
      <c r="L164" s="13"/>
      <c r="M164" s="20">
        <f>IF(A164="","",MONTH(A164))</f>
        <v>6</v>
      </c>
    </row>
    <row r="165" spans="1:13" x14ac:dyDescent="0.25">
      <c r="A165" s="18">
        <f>IF(YEAR(DATE('Configurações'!$B$5,1,1)+160)='Configurações'!$B$5,DATE('Configurações'!$B$5,1,1)+160,"")</f>
        <v>46548</v>
      </c>
      <c r="B165" s="19">
        <f>A165</f>
        <v>46548</v>
      </c>
      <c r="C165" s="20" t="str">
        <f>IF(A165="","",IF(COUNTIF('Feriados'!$A$5:$A$84,A165)&gt;0,"Feriado",IF(WEEKDAY(A165,2)&gt;5,"Fim de semana","Dia útil")))</f>
        <v>Dia útil</v>
      </c>
      <c r="D165" s="21"/>
      <c r="E165" s="21"/>
      <c r="F165" s="14"/>
      <c r="G165" s="13"/>
      <c r="H165" s="22">
        <f>IF(AND(ISNUMBER(D165),ISNUMBER(E165)),ROUND(MOD(E165-D165,1)*24-N(F165)/60,2),0)</f>
        <v>0</v>
      </c>
      <c r="I165" s="22">
        <f>IF(C165="Dia útil",'Configurações'!$B$6,0)</f>
        <v>8</v>
      </c>
      <c r="J165" s="22">
        <f>H165+IF(OR(G165="Férias",G165="Atestado médico",G165="Consulta médica",G165="Folga de banco de horas",G165="Viagem a trabalho"),I165,IF(G165="Meio dia de férias",I165/2,0))</f>
        <v>0</v>
      </c>
      <c r="K165" s="23">
        <f>IF(OR(H165&gt;0,G165&lt;&gt;""),J165-I165,0)</f>
        <v>0</v>
      </c>
      <c r="L165" s="13"/>
      <c r="M165" s="20">
        <f>IF(A165="","",MONTH(A165))</f>
        <v>6</v>
      </c>
    </row>
    <row r="166" spans="1:13" x14ac:dyDescent="0.25">
      <c r="A166" s="18">
        <f>IF(YEAR(DATE('Configurações'!$B$5,1,1)+161)='Configurações'!$B$5,DATE('Configurações'!$B$5,1,1)+161,"")</f>
        <v>46549</v>
      </c>
      <c r="B166" s="19">
        <f>A166</f>
        <v>46549</v>
      </c>
      <c r="C166" s="20" t="str">
        <f>IF(A166="","",IF(COUNTIF('Feriados'!$A$5:$A$84,A166)&gt;0,"Feriado",IF(WEEKDAY(A166,2)&gt;5,"Fim de semana","Dia útil")))</f>
        <v>Dia útil</v>
      </c>
      <c r="D166" s="21"/>
      <c r="E166" s="21"/>
      <c r="F166" s="14"/>
      <c r="G166" s="13"/>
      <c r="H166" s="22">
        <f>IF(AND(ISNUMBER(D166),ISNUMBER(E166)),ROUND(MOD(E166-D166,1)*24-N(F166)/60,2),0)</f>
        <v>0</v>
      </c>
      <c r="I166" s="22">
        <f>IF(C166="Dia útil",'Configurações'!$B$6,0)</f>
        <v>8</v>
      </c>
      <c r="J166" s="22">
        <f>H166+IF(OR(G166="Férias",G166="Atestado médico",G166="Consulta médica",G166="Folga de banco de horas",G166="Viagem a trabalho"),I166,IF(G166="Meio dia de férias",I166/2,0))</f>
        <v>0</v>
      </c>
      <c r="K166" s="23">
        <f>IF(OR(H166&gt;0,G166&lt;&gt;""),J166-I166,0)</f>
        <v>0</v>
      </c>
      <c r="L166" s="13"/>
      <c r="M166" s="20">
        <f>IF(A166="","",MONTH(A166))</f>
        <v>6</v>
      </c>
    </row>
    <row r="167" spans="1:13" x14ac:dyDescent="0.25">
      <c r="A167" s="18">
        <f>IF(YEAR(DATE('Configurações'!$B$5,1,1)+162)='Configurações'!$B$5,DATE('Configurações'!$B$5,1,1)+162,"")</f>
        <v>46550</v>
      </c>
      <c r="B167" s="19">
        <f>A167</f>
        <v>46550</v>
      </c>
      <c r="C167" s="20" t="str">
        <f>IF(A167="","",IF(COUNTIF('Feriados'!$A$5:$A$84,A167)&gt;0,"Feriado",IF(WEEKDAY(A167,2)&gt;5,"Fim de semana","Dia útil")))</f>
        <v>Fim de semana</v>
      </c>
      <c r="D167" s="21"/>
      <c r="E167" s="21"/>
      <c r="F167" s="14"/>
      <c r="G167" s="13"/>
      <c r="H167" s="22">
        <f>IF(AND(ISNUMBER(D167),ISNUMBER(E167)),ROUND(MOD(E167-D167,1)*24-N(F167)/60,2),0)</f>
        <v>0</v>
      </c>
      <c r="I167" s="22">
        <f>IF(C167="Dia útil",'Configurações'!$B$6,0)</f>
        <v>0</v>
      </c>
      <c r="J167" s="22">
        <f>H167+IF(OR(G167="Férias",G167="Atestado médico",G167="Consulta médica",G167="Folga de banco de horas",G167="Viagem a trabalho"),I167,IF(G167="Meio dia de férias",I167/2,0))</f>
        <v>0</v>
      </c>
      <c r="K167" s="23">
        <f>IF(OR(H167&gt;0,G167&lt;&gt;""),J167-I167,0)</f>
        <v>0</v>
      </c>
      <c r="L167" s="13"/>
      <c r="M167" s="20">
        <f>IF(A167="","",MONTH(A167))</f>
        <v>6</v>
      </c>
    </row>
    <row r="168" spans="1:13" x14ac:dyDescent="0.25">
      <c r="A168" s="18">
        <f>IF(YEAR(DATE('Configurações'!$B$5,1,1)+163)='Configurações'!$B$5,DATE('Configurações'!$B$5,1,1)+163,"")</f>
        <v>46551</v>
      </c>
      <c r="B168" s="19">
        <f>A168</f>
        <v>46551</v>
      </c>
      <c r="C168" s="20" t="str">
        <f>IF(A168="","",IF(COUNTIF('Feriados'!$A$5:$A$84,A168)&gt;0,"Feriado",IF(WEEKDAY(A168,2)&gt;5,"Fim de semana","Dia útil")))</f>
        <v>Fim de semana</v>
      </c>
      <c r="D168" s="21"/>
      <c r="E168" s="21"/>
      <c r="F168" s="14"/>
      <c r="G168" s="13"/>
      <c r="H168" s="22">
        <f>IF(AND(ISNUMBER(D168),ISNUMBER(E168)),ROUND(MOD(E168-D168,1)*24-N(F168)/60,2),0)</f>
        <v>0</v>
      </c>
      <c r="I168" s="22">
        <f>IF(C168="Dia útil",'Configurações'!$B$6,0)</f>
        <v>0</v>
      </c>
      <c r="J168" s="22">
        <f>H168+IF(OR(G168="Férias",G168="Atestado médico",G168="Consulta médica",G168="Folga de banco de horas",G168="Viagem a trabalho"),I168,IF(G168="Meio dia de férias",I168/2,0))</f>
        <v>0</v>
      </c>
      <c r="K168" s="23">
        <f>IF(OR(H168&gt;0,G168&lt;&gt;""),J168-I168,0)</f>
        <v>0</v>
      </c>
      <c r="L168" s="13"/>
      <c r="M168" s="20">
        <f>IF(A168="","",MONTH(A168))</f>
        <v>6</v>
      </c>
    </row>
    <row r="169" spans="1:13" x14ac:dyDescent="0.25">
      <c r="A169" s="18">
        <f>IF(YEAR(DATE('Configurações'!$B$5,1,1)+164)='Configurações'!$B$5,DATE('Configurações'!$B$5,1,1)+164,"")</f>
        <v>46552</v>
      </c>
      <c r="B169" s="19">
        <f>A169</f>
        <v>46552</v>
      </c>
      <c r="C169" s="20" t="str">
        <f>IF(A169="","",IF(COUNTIF('Feriados'!$A$5:$A$84,A169)&gt;0,"Feriado",IF(WEEKDAY(A169,2)&gt;5,"Fim de semana","Dia útil")))</f>
        <v>Dia útil</v>
      </c>
      <c r="D169" s="21"/>
      <c r="E169" s="21"/>
      <c r="F169" s="14"/>
      <c r="G169" s="13"/>
      <c r="H169" s="22">
        <f>IF(AND(ISNUMBER(D169),ISNUMBER(E169)),ROUND(MOD(E169-D169,1)*24-N(F169)/60,2),0)</f>
        <v>0</v>
      </c>
      <c r="I169" s="22">
        <f>IF(C169="Dia útil",'Configurações'!$B$6,0)</f>
        <v>8</v>
      </c>
      <c r="J169" s="22">
        <f>H169+IF(OR(G169="Férias",G169="Atestado médico",G169="Consulta médica",G169="Folga de banco de horas",G169="Viagem a trabalho"),I169,IF(G169="Meio dia de férias",I169/2,0))</f>
        <v>0</v>
      </c>
      <c r="K169" s="23">
        <f>IF(OR(H169&gt;0,G169&lt;&gt;""),J169-I169,0)</f>
        <v>0</v>
      </c>
      <c r="L169" s="13"/>
      <c r="M169" s="20">
        <f>IF(A169="","",MONTH(A169))</f>
        <v>6</v>
      </c>
    </row>
    <row r="170" spans="1:13" x14ac:dyDescent="0.25">
      <c r="A170" s="18">
        <f>IF(YEAR(DATE('Configurações'!$B$5,1,1)+165)='Configurações'!$B$5,DATE('Configurações'!$B$5,1,1)+165,"")</f>
        <v>46553</v>
      </c>
      <c r="B170" s="19">
        <f>A170</f>
        <v>46553</v>
      </c>
      <c r="C170" s="20" t="str">
        <f>IF(A170="","",IF(COUNTIF('Feriados'!$A$5:$A$84,A170)&gt;0,"Feriado",IF(WEEKDAY(A170,2)&gt;5,"Fim de semana","Dia útil")))</f>
        <v>Dia útil</v>
      </c>
      <c r="D170" s="21"/>
      <c r="E170" s="21"/>
      <c r="F170" s="14"/>
      <c r="G170" s="13"/>
      <c r="H170" s="22">
        <f>IF(AND(ISNUMBER(D170),ISNUMBER(E170)),ROUND(MOD(E170-D170,1)*24-N(F170)/60,2),0)</f>
        <v>0</v>
      </c>
      <c r="I170" s="22">
        <f>IF(C170="Dia útil",'Configurações'!$B$6,0)</f>
        <v>8</v>
      </c>
      <c r="J170" s="22">
        <f>H170+IF(OR(G170="Férias",G170="Atestado médico",G170="Consulta médica",G170="Folga de banco de horas",G170="Viagem a trabalho"),I170,IF(G170="Meio dia de férias",I170/2,0))</f>
        <v>0</v>
      </c>
      <c r="K170" s="23">
        <f>IF(OR(H170&gt;0,G170&lt;&gt;""),J170-I170,0)</f>
        <v>0</v>
      </c>
      <c r="L170" s="13"/>
      <c r="M170" s="20">
        <f>IF(A170="","",MONTH(A170))</f>
        <v>6</v>
      </c>
    </row>
    <row r="171" spans="1:13" x14ac:dyDescent="0.25">
      <c r="A171" s="18">
        <f>IF(YEAR(DATE('Configurações'!$B$5,1,1)+166)='Configurações'!$B$5,DATE('Configurações'!$B$5,1,1)+166,"")</f>
        <v>46554</v>
      </c>
      <c r="B171" s="19">
        <f>A171</f>
        <v>46554</v>
      </c>
      <c r="C171" s="20" t="str">
        <f>IF(A171="","",IF(COUNTIF('Feriados'!$A$5:$A$84,A171)&gt;0,"Feriado",IF(WEEKDAY(A171,2)&gt;5,"Fim de semana","Dia útil")))</f>
        <v>Dia útil</v>
      </c>
      <c r="D171" s="21"/>
      <c r="E171" s="21"/>
      <c r="F171" s="14"/>
      <c r="G171" s="13"/>
      <c r="H171" s="22">
        <f>IF(AND(ISNUMBER(D171),ISNUMBER(E171)),ROUND(MOD(E171-D171,1)*24-N(F171)/60,2),0)</f>
        <v>0</v>
      </c>
      <c r="I171" s="22">
        <f>IF(C171="Dia útil",'Configurações'!$B$6,0)</f>
        <v>8</v>
      </c>
      <c r="J171" s="22">
        <f>H171+IF(OR(G171="Férias",G171="Atestado médico",G171="Consulta médica",G171="Folga de banco de horas",G171="Viagem a trabalho"),I171,IF(G171="Meio dia de férias",I171/2,0))</f>
        <v>0</v>
      </c>
      <c r="K171" s="23">
        <f>IF(OR(H171&gt;0,G171&lt;&gt;""),J171-I171,0)</f>
        <v>0</v>
      </c>
      <c r="L171" s="13"/>
      <c r="M171" s="20">
        <f>IF(A171="","",MONTH(A171))</f>
        <v>6</v>
      </c>
    </row>
    <row r="172" spans="1:13" x14ac:dyDescent="0.25">
      <c r="A172" s="18">
        <f>IF(YEAR(DATE('Configurações'!$B$5,1,1)+167)='Configurações'!$B$5,DATE('Configurações'!$B$5,1,1)+167,"")</f>
        <v>46555</v>
      </c>
      <c r="B172" s="19">
        <f>A172</f>
        <v>46555</v>
      </c>
      <c r="C172" s="20" t="str">
        <f>IF(A172="","",IF(COUNTIF('Feriados'!$A$5:$A$84,A172)&gt;0,"Feriado",IF(WEEKDAY(A172,2)&gt;5,"Fim de semana","Dia útil")))</f>
        <v>Dia útil</v>
      </c>
      <c r="D172" s="21"/>
      <c r="E172" s="21"/>
      <c r="F172" s="14"/>
      <c r="G172" s="13"/>
      <c r="H172" s="22">
        <f>IF(AND(ISNUMBER(D172),ISNUMBER(E172)),ROUND(MOD(E172-D172,1)*24-N(F172)/60,2),0)</f>
        <v>0</v>
      </c>
      <c r="I172" s="22">
        <f>IF(C172="Dia útil",'Configurações'!$B$6,0)</f>
        <v>8</v>
      </c>
      <c r="J172" s="22">
        <f>H172+IF(OR(G172="Férias",G172="Atestado médico",G172="Consulta médica",G172="Folga de banco de horas",G172="Viagem a trabalho"),I172,IF(G172="Meio dia de férias",I172/2,0))</f>
        <v>0</v>
      </c>
      <c r="K172" s="23">
        <f>IF(OR(H172&gt;0,G172&lt;&gt;""),J172-I172,0)</f>
        <v>0</v>
      </c>
      <c r="L172" s="13"/>
      <c r="M172" s="20">
        <f>IF(A172="","",MONTH(A172))</f>
        <v>6</v>
      </c>
    </row>
    <row r="173" spans="1:13" x14ac:dyDescent="0.25">
      <c r="A173" s="18">
        <f>IF(YEAR(DATE('Configurações'!$B$5,1,1)+168)='Configurações'!$B$5,DATE('Configurações'!$B$5,1,1)+168,"")</f>
        <v>46556</v>
      </c>
      <c r="B173" s="19">
        <f>A173</f>
        <v>46556</v>
      </c>
      <c r="C173" s="20" t="str">
        <f>IF(A173="","",IF(COUNTIF('Feriados'!$A$5:$A$84,A173)&gt;0,"Feriado",IF(WEEKDAY(A173,2)&gt;5,"Fim de semana","Dia útil")))</f>
        <v>Dia útil</v>
      </c>
      <c r="D173" s="21"/>
      <c r="E173" s="21"/>
      <c r="F173" s="14"/>
      <c r="G173" s="13"/>
      <c r="H173" s="22">
        <f>IF(AND(ISNUMBER(D173),ISNUMBER(E173)),ROUND(MOD(E173-D173,1)*24-N(F173)/60,2),0)</f>
        <v>0</v>
      </c>
      <c r="I173" s="22">
        <f>IF(C173="Dia útil",'Configurações'!$B$6,0)</f>
        <v>8</v>
      </c>
      <c r="J173" s="22">
        <f>H173+IF(OR(G173="Férias",G173="Atestado médico",G173="Consulta médica",G173="Folga de banco de horas",G173="Viagem a trabalho"),I173,IF(G173="Meio dia de férias",I173/2,0))</f>
        <v>0</v>
      </c>
      <c r="K173" s="23">
        <f>IF(OR(H173&gt;0,G173&lt;&gt;""),J173-I173,0)</f>
        <v>0</v>
      </c>
      <c r="L173" s="13"/>
      <c r="M173" s="20">
        <f>IF(A173="","",MONTH(A173))</f>
        <v>6</v>
      </c>
    </row>
    <row r="174" spans="1:13" x14ac:dyDescent="0.25">
      <c r="A174" s="18">
        <f>IF(YEAR(DATE('Configurações'!$B$5,1,1)+169)='Configurações'!$B$5,DATE('Configurações'!$B$5,1,1)+169,"")</f>
        <v>46557</v>
      </c>
      <c r="B174" s="19">
        <f>A174</f>
        <v>46557</v>
      </c>
      <c r="C174" s="20" t="str">
        <f>IF(A174="","",IF(COUNTIF('Feriados'!$A$5:$A$84,A174)&gt;0,"Feriado",IF(WEEKDAY(A174,2)&gt;5,"Fim de semana","Dia útil")))</f>
        <v>Fim de semana</v>
      </c>
      <c r="D174" s="21"/>
      <c r="E174" s="21"/>
      <c r="F174" s="14"/>
      <c r="G174" s="13"/>
      <c r="H174" s="22">
        <f>IF(AND(ISNUMBER(D174),ISNUMBER(E174)),ROUND(MOD(E174-D174,1)*24-N(F174)/60,2),0)</f>
        <v>0</v>
      </c>
      <c r="I174" s="22">
        <f>IF(C174="Dia útil",'Configurações'!$B$6,0)</f>
        <v>0</v>
      </c>
      <c r="J174" s="22">
        <f>H174+IF(OR(G174="Férias",G174="Atestado médico",G174="Consulta médica",G174="Folga de banco de horas",G174="Viagem a trabalho"),I174,IF(G174="Meio dia de férias",I174/2,0))</f>
        <v>0</v>
      </c>
      <c r="K174" s="23">
        <f>IF(OR(H174&gt;0,G174&lt;&gt;""),J174-I174,0)</f>
        <v>0</v>
      </c>
      <c r="L174" s="13"/>
      <c r="M174" s="20">
        <f>IF(A174="","",MONTH(A174))</f>
        <v>6</v>
      </c>
    </row>
    <row r="175" spans="1:13" x14ac:dyDescent="0.25">
      <c r="A175" s="18">
        <f>IF(YEAR(DATE('Configurações'!$B$5,1,1)+170)='Configurações'!$B$5,DATE('Configurações'!$B$5,1,1)+170,"")</f>
        <v>46558</v>
      </c>
      <c r="B175" s="19">
        <f>A175</f>
        <v>46558</v>
      </c>
      <c r="C175" s="20" t="str">
        <f>IF(A175="","",IF(COUNTIF('Feriados'!$A$5:$A$84,A175)&gt;0,"Feriado",IF(WEEKDAY(A175,2)&gt;5,"Fim de semana","Dia útil")))</f>
        <v>Fim de semana</v>
      </c>
      <c r="D175" s="21"/>
      <c r="E175" s="21"/>
      <c r="F175" s="14"/>
      <c r="G175" s="13"/>
      <c r="H175" s="22">
        <f>IF(AND(ISNUMBER(D175),ISNUMBER(E175)),ROUND(MOD(E175-D175,1)*24-N(F175)/60,2),0)</f>
        <v>0</v>
      </c>
      <c r="I175" s="22">
        <f>IF(C175="Dia útil",'Configurações'!$B$6,0)</f>
        <v>0</v>
      </c>
      <c r="J175" s="22">
        <f>H175+IF(OR(G175="Férias",G175="Atestado médico",G175="Consulta médica",G175="Folga de banco de horas",G175="Viagem a trabalho"),I175,IF(G175="Meio dia de férias",I175/2,0))</f>
        <v>0</v>
      </c>
      <c r="K175" s="23">
        <f>IF(OR(H175&gt;0,G175&lt;&gt;""),J175-I175,0)</f>
        <v>0</v>
      </c>
      <c r="L175" s="13"/>
      <c r="M175" s="20">
        <f>IF(A175="","",MONTH(A175))</f>
        <v>6</v>
      </c>
    </row>
    <row r="176" spans="1:13" x14ac:dyDescent="0.25">
      <c r="A176" s="18">
        <f>IF(YEAR(DATE('Configurações'!$B$5,1,1)+171)='Configurações'!$B$5,DATE('Configurações'!$B$5,1,1)+171,"")</f>
        <v>46559</v>
      </c>
      <c r="B176" s="19">
        <f>A176</f>
        <v>46559</v>
      </c>
      <c r="C176" s="20" t="str">
        <f>IF(A176="","",IF(COUNTIF('Feriados'!$A$5:$A$84,A176)&gt;0,"Feriado",IF(WEEKDAY(A176,2)&gt;5,"Fim de semana","Dia útil")))</f>
        <v>Dia útil</v>
      </c>
      <c r="D176" s="21"/>
      <c r="E176" s="21"/>
      <c r="F176" s="14"/>
      <c r="G176" s="13"/>
      <c r="H176" s="22">
        <f>IF(AND(ISNUMBER(D176),ISNUMBER(E176)),ROUND(MOD(E176-D176,1)*24-N(F176)/60,2),0)</f>
        <v>0</v>
      </c>
      <c r="I176" s="22">
        <f>IF(C176="Dia útil",'Configurações'!$B$6,0)</f>
        <v>8</v>
      </c>
      <c r="J176" s="22">
        <f>H176+IF(OR(G176="Férias",G176="Atestado médico",G176="Consulta médica",G176="Folga de banco de horas",G176="Viagem a trabalho"),I176,IF(G176="Meio dia de férias",I176/2,0))</f>
        <v>0</v>
      </c>
      <c r="K176" s="23">
        <f>IF(OR(H176&gt;0,G176&lt;&gt;""),J176-I176,0)</f>
        <v>0</v>
      </c>
      <c r="L176" s="13"/>
      <c r="M176" s="20">
        <f>IF(A176="","",MONTH(A176))</f>
        <v>6</v>
      </c>
    </row>
    <row r="177" spans="1:13" x14ac:dyDescent="0.25">
      <c r="A177" s="18">
        <f>IF(YEAR(DATE('Configurações'!$B$5,1,1)+172)='Configurações'!$B$5,DATE('Configurações'!$B$5,1,1)+172,"")</f>
        <v>46560</v>
      </c>
      <c r="B177" s="19">
        <f>A177</f>
        <v>46560</v>
      </c>
      <c r="C177" s="20" t="str">
        <f>IF(A177="","",IF(COUNTIF('Feriados'!$A$5:$A$84,A177)&gt;0,"Feriado",IF(WEEKDAY(A177,2)&gt;5,"Fim de semana","Dia útil")))</f>
        <v>Dia útil</v>
      </c>
      <c r="D177" s="21"/>
      <c r="E177" s="21"/>
      <c r="F177" s="14"/>
      <c r="G177" s="13"/>
      <c r="H177" s="22">
        <f>IF(AND(ISNUMBER(D177),ISNUMBER(E177)),ROUND(MOD(E177-D177,1)*24-N(F177)/60,2),0)</f>
        <v>0</v>
      </c>
      <c r="I177" s="22">
        <f>IF(C177="Dia útil",'Configurações'!$B$6,0)</f>
        <v>8</v>
      </c>
      <c r="J177" s="22">
        <f>H177+IF(OR(G177="Férias",G177="Atestado médico",G177="Consulta médica",G177="Folga de banco de horas",G177="Viagem a trabalho"),I177,IF(G177="Meio dia de férias",I177/2,0))</f>
        <v>0</v>
      </c>
      <c r="K177" s="23">
        <f>IF(OR(H177&gt;0,G177&lt;&gt;""),J177-I177,0)</f>
        <v>0</v>
      </c>
      <c r="L177" s="13"/>
      <c r="M177" s="20">
        <f>IF(A177="","",MONTH(A177))</f>
        <v>6</v>
      </c>
    </row>
    <row r="178" spans="1:13" x14ac:dyDescent="0.25">
      <c r="A178" s="18">
        <f>IF(YEAR(DATE('Configurações'!$B$5,1,1)+173)='Configurações'!$B$5,DATE('Configurações'!$B$5,1,1)+173,"")</f>
        <v>46561</v>
      </c>
      <c r="B178" s="19">
        <f>A178</f>
        <v>46561</v>
      </c>
      <c r="C178" s="20" t="str">
        <f>IF(A178="","",IF(COUNTIF('Feriados'!$A$5:$A$84,A178)&gt;0,"Feriado",IF(WEEKDAY(A178,2)&gt;5,"Fim de semana","Dia útil")))</f>
        <v>Dia útil</v>
      </c>
      <c r="D178" s="21"/>
      <c r="E178" s="21"/>
      <c r="F178" s="14"/>
      <c r="G178" s="13"/>
      <c r="H178" s="22">
        <f>IF(AND(ISNUMBER(D178),ISNUMBER(E178)),ROUND(MOD(E178-D178,1)*24-N(F178)/60,2),0)</f>
        <v>0</v>
      </c>
      <c r="I178" s="22">
        <f>IF(C178="Dia útil",'Configurações'!$B$6,0)</f>
        <v>8</v>
      </c>
      <c r="J178" s="22">
        <f>H178+IF(OR(G178="Férias",G178="Atestado médico",G178="Consulta médica",G178="Folga de banco de horas",G178="Viagem a trabalho"),I178,IF(G178="Meio dia de férias",I178/2,0))</f>
        <v>0</v>
      </c>
      <c r="K178" s="23">
        <f>IF(OR(H178&gt;0,G178&lt;&gt;""),J178-I178,0)</f>
        <v>0</v>
      </c>
      <c r="L178" s="13"/>
      <c r="M178" s="20">
        <f>IF(A178="","",MONTH(A178))</f>
        <v>6</v>
      </c>
    </row>
    <row r="179" spans="1:13" x14ac:dyDescent="0.25">
      <c r="A179" s="18">
        <f>IF(YEAR(DATE('Configurações'!$B$5,1,1)+174)='Configurações'!$B$5,DATE('Configurações'!$B$5,1,1)+174,"")</f>
        <v>46562</v>
      </c>
      <c r="B179" s="19">
        <f>A179</f>
        <v>46562</v>
      </c>
      <c r="C179" s="20" t="str">
        <f>IF(A179="","",IF(COUNTIF('Feriados'!$A$5:$A$84,A179)&gt;0,"Feriado",IF(WEEKDAY(A179,2)&gt;5,"Fim de semana","Dia útil")))</f>
        <v>Dia útil</v>
      </c>
      <c r="D179" s="21"/>
      <c r="E179" s="21"/>
      <c r="F179" s="14"/>
      <c r="G179" s="13"/>
      <c r="H179" s="22">
        <f>IF(AND(ISNUMBER(D179),ISNUMBER(E179)),ROUND(MOD(E179-D179,1)*24-N(F179)/60,2),0)</f>
        <v>0</v>
      </c>
      <c r="I179" s="22">
        <f>IF(C179="Dia útil",'Configurações'!$B$6,0)</f>
        <v>8</v>
      </c>
      <c r="J179" s="22">
        <f>H179+IF(OR(G179="Férias",G179="Atestado médico",G179="Consulta médica",G179="Folga de banco de horas",G179="Viagem a trabalho"),I179,IF(G179="Meio dia de férias",I179/2,0))</f>
        <v>0</v>
      </c>
      <c r="K179" s="23">
        <f>IF(OR(H179&gt;0,G179&lt;&gt;""),J179-I179,0)</f>
        <v>0</v>
      </c>
      <c r="L179" s="13"/>
      <c r="M179" s="20">
        <f>IF(A179="","",MONTH(A179))</f>
        <v>6</v>
      </c>
    </row>
    <row r="180" spans="1:13" x14ac:dyDescent="0.25">
      <c r="A180" s="18">
        <f>IF(YEAR(DATE('Configurações'!$B$5,1,1)+175)='Configurações'!$B$5,DATE('Configurações'!$B$5,1,1)+175,"")</f>
        <v>46563</v>
      </c>
      <c r="B180" s="19">
        <f>A180</f>
        <v>46563</v>
      </c>
      <c r="C180" s="20" t="str">
        <f>IF(A180="","",IF(COUNTIF('Feriados'!$A$5:$A$84,A180)&gt;0,"Feriado",IF(WEEKDAY(A180,2)&gt;5,"Fim de semana","Dia útil")))</f>
        <v>Dia útil</v>
      </c>
      <c r="D180" s="21"/>
      <c r="E180" s="21"/>
      <c r="F180" s="14"/>
      <c r="G180" s="13"/>
      <c r="H180" s="22">
        <f>IF(AND(ISNUMBER(D180),ISNUMBER(E180)),ROUND(MOD(E180-D180,1)*24-N(F180)/60,2),0)</f>
        <v>0</v>
      </c>
      <c r="I180" s="22">
        <f>IF(C180="Dia útil",'Configurações'!$B$6,0)</f>
        <v>8</v>
      </c>
      <c r="J180" s="22">
        <f>H180+IF(OR(G180="Férias",G180="Atestado médico",G180="Consulta médica",G180="Folga de banco de horas",G180="Viagem a trabalho"),I180,IF(G180="Meio dia de férias",I180/2,0))</f>
        <v>0</v>
      </c>
      <c r="K180" s="23">
        <f>IF(OR(H180&gt;0,G180&lt;&gt;""),J180-I180,0)</f>
        <v>0</v>
      </c>
      <c r="L180" s="13"/>
      <c r="M180" s="20">
        <f>IF(A180="","",MONTH(A180))</f>
        <v>6</v>
      </c>
    </row>
    <row r="181" spans="1:13" x14ac:dyDescent="0.25">
      <c r="A181" s="18">
        <f>IF(YEAR(DATE('Configurações'!$B$5,1,1)+176)='Configurações'!$B$5,DATE('Configurações'!$B$5,1,1)+176,"")</f>
        <v>46564</v>
      </c>
      <c r="B181" s="19">
        <f>A181</f>
        <v>46564</v>
      </c>
      <c r="C181" s="20" t="str">
        <f>IF(A181="","",IF(COUNTIF('Feriados'!$A$5:$A$84,A181)&gt;0,"Feriado",IF(WEEKDAY(A181,2)&gt;5,"Fim de semana","Dia útil")))</f>
        <v>Fim de semana</v>
      </c>
      <c r="D181" s="21"/>
      <c r="E181" s="21"/>
      <c r="F181" s="14"/>
      <c r="G181" s="13"/>
      <c r="H181" s="22">
        <f>IF(AND(ISNUMBER(D181),ISNUMBER(E181)),ROUND(MOD(E181-D181,1)*24-N(F181)/60,2),0)</f>
        <v>0</v>
      </c>
      <c r="I181" s="22">
        <f>IF(C181="Dia útil",'Configurações'!$B$6,0)</f>
        <v>0</v>
      </c>
      <c r="J181" s="22">
        <f>H181+IF(OR(G181="Férias",G181="Atestado médico",G181="Consulta médica",G181="Folga de banco de horas",G181="Viagem a trabalho"),I181,IF(G181="Meio dia de férias",I181/2,0))</f>
        <v>0</v>
      </c>
      <c r="K181" s="23">
        <f>IF(OR(H181&gt;0,G181&lt;&gt;""),J181-I181,0)</f>
        <v>0</v>
      </c>
      <c r="L181" s="13"/>
      <c r="M181" s="20">
        <f>IF(A181="","",MONTH(A181))</f>
        <v>6</v>
      </c>
    </row>
    <row r="182" spans="1:13" x14ac:dyDescent="0.25">
      <c r="A182" s="18">
        <f>IF(YEAR(DATE('Configurações'!$B$5,1,1)+177)='Configurações'!$B$5,DATE('Configurações'!$B$5,1,1)+177,"")</f>
        <v>46565</v>
      </c>
      <c r="B182" s="19">
        <f>A182</f>
        <v>46565</v>
      </c>
      <c r="C182" s="20" t="str">
        <f>IF(A182="","",IF(COUNTIF('Feriados'!$A$5:$A$84,A182)&gt;0,"Feriado",IF(WEEKDAY(A182,2)&gt;5,"Fim de semana","Dia útil")))</f>
        <v>Fim de semana</v>
      </c>
      <c r="D182" s="21"/>
      <c r="E182" s="21"/>
      <c r="F182" s="14"/>
      <c r="G182" s="13"/>
      <c r="H182" s="22">
        <f>IF(AND(ISNUMBER(D182),ISNUMBER(E182)),ROUND(MOD(E182-D182,1)*24-N(F182)/60,2),0)</f>
        <v>0</v>
      </c>
      <c r="I182" s="22">
        <f>IF(C182="Dia útil",'Configurações'!$B$6,0)</f>
        <v>0</v>
      </c>
      <c r="J182" s="22">
        <f>H182+IF(OR(G182="Férias",G182="Atestado médico",G182="Consulta médica",G182="Folga de banco de horas",G182="Viagem a trabalho"),I182,IF(G182="Meio dia de férias",I182/2,0))</f>
        <v>0</v>
      </c>
      <c r="K182" s="23">
        <f>IF(OR(H182&gt;0,G182&lt;&gt;""),J182-I182,0)</f>
        <v>0</v>
      </c>
      <c r="L182" s="13"/>
      <c r="M182" s="20">
        <f>IF(A182="","",MONTH(A182))</f>
        <v>6</v>
      </c>
    </row>
    <row r="183" spans="1:13" x14ac:dyDescent="0.25">
      <c r="A183" s="18">
        <f>IF(YEAR(DATE('Configurações'!$B$5,1,1)+178)='Configurações'!$B$5,DATE('Configurações'!$B$5,1,1)+178,"")</f>
        <v>46566</v>
      </c>
      <c r="B183" s="19">
        <f>A183</f>
        <v>46566</v>
      </c>
      <c r="C183" s="20" t="str">
        <f>IF(A183="","",IF(COUNTIF('Feriados'!$A$5:$A$84,A183)&gt;0,"Feriado",IF(WEEKDAY(A183,2)&gt;5,"Fim de semana","Dia útil")))</f>
        <v>Dia útil</v>
      </c>
      <c r="D183" s="21"/>
      <c r="E183" s="21"/>
      <c r="F183" s="14"/>
      <c r="G183" s="13"/>
      <c r="H183" s="22">
        <f>IF(AND(ISNUMBER(D183),ISNUMBER(E183)),ROUND(MOD(E183-D183,1)*24-N(F183)/60,2),0)</f>
        <v>0</v>
      </c>
      <c r="I183" s="22">
        <f>IF(C183="Dia útil",'Configurações'!$B$6,0)</f>
        <v>8</v>
      </c>
      <c r="J183" s="22">
        <f>H183+IF(OR(G183="Férias",G183="Atestado médico",G183="Consulta médica",G183="Folga de banco de horas",G183="Viagem a trabalho"),I183,IF(G183="Meio dia de férias",I183/2,0))</f>
        <v>0</v>
      </c>
      <c r="K183" s="23">
        <f>IF(OR(H183&gt;0,G183&lt;&gt;""),J183-I183,0)</f>
        <v>0</v>
      </c>
      <c r="L183" s="13"/>
      <c r="M183" s="20">
        <f>IF(A183="","",MONTH(A183))</f>
        <v>6</v>
      </c>
    </row>
    <row r="184" spans="1:13" x14ac:dyDescent="0.25">
      <c r="A184" s="18">
        <f>IF(YEAR(DATE('Configurações'!$B$5,1,1)+179)='Configurações'!$B$5,DATE('Configurações'!$B$5,1,1)+179,"")</f>
        <v>46567</v>
      </c>
      <c r="B184" s="19">
        <f>A184</f>
        <v>46567</v>
      </c>
      <c r="C184" s="20" t="str">
        <f>IF(A184="","",IF(COUNTIF('Feriados'!$A$5:$A$84,A184)&gt;0,"Feriado",IF(WEEKDAY(A184,2)&gt;5,"Fim de semana","Dia útil")))</f>
        <v>Dia útil</v>
      </c>
      <c r="D184" s="21"/>
      <c r="E184" s="21"/>
      <c r="F184" s="14"/>
      <c r="G184" s="13"/>
      <c r="H184" s="22">
        <f>IF(AND(ISNUMBER(D184),ISNUMBER(E184)),ROUND(MOD(E184-D184,1)*24-N(F184)/60,2),0)</f>
        <v>0</v>
      </c>
      <c r="I184" s="22">
        <f>IF(C184="Dia útil",'Configurações'!$B$6,0)</f>
        <v>8</v>
      </c>
      <c r="J184" s="22">
        <f>H184+IF(OR(G184="Férias",G184="Atestado médico",G184="Consulta médica",G184="Folga de banco de horas",G184="Viagem a trabalho"),I184,IF(G184="Meio dia de férias",I184/2,0))</f>
        <v>0</v>
      </c>
      <c r="K184" s="23">
        <f>IF(OR(H184&gt;0,G184&lt;&gt;""),J184-I184,0)</f>
        <v>0</v>
      </c>
      <c r="L184" s="13"/>
      <c r="M184" s="20">
        <f>IF(A184="","",MONTH(A184))</f>
        <v>6</v>
      </c>
    </row>
    <row r="185" spans="1:13" x14ac:dyDescent="0.25">
      <c r="A185" s="18">
        <f>IF(YEAR(DATE('Configurações'!$B$5,1,1)+180)='Configurações'!$B$5,DATE('Configurações'!$B$5,1,1)+180,"")</f>
        <v>46568</v>
      </c>
      <c r="B185" s="19">
        <f>A185</f>
        <v>46568</v>
      </c>
      <c r="C185" s="20" t="str">
        <f>IF(A185="","",IF(COUNTIF('Feriados'!$A$5:$A$84,A185)&gt;0,"Feriado",IF(WEEKDAY(A185,2)&gt;5,"Fim de semana","Dia útil")))</f>
        <v>Dia útil</v>
      </c>
      <c r="D185" s="21"/>
      <c r="E185" s="21"/>
      <c r="F185" s="14"/>
      <c r="G185" s="13"/>
      <c r="H185" s="22">
        <f>IF(AND(ISNUMBER(D185),ISNUMBER(E185)),ROUND(MOD(E185-D185,1)*24-N(F185)/60,2),0)</f>
        <v>0</v>
      </c>
      <c r="I185" s="22">
        <f>IF(C185="Dia útil",'Configurações'!$B$6,0)</f>
        <v>8</v>
      </c>
      <c r="J185" s="22">
        <f>H185+IF(OR(G185="Férias",G185="Atestado médico",G185="Consulta médica",G185="Folga de banco de horas",G185="Viagem a trabalho"),I185,IF(G185="Meio dia de férias",I185/2,0))</f>
        <v>0</v>
      </c>
      <c r="K185" s="23">
        <f>IF(OR(H185&gt;0,G185&lt;&gt;""),J185-I185,0)</f>
        <v>0</v>
      </c>
      <c r="L185" s="13"/>
      <c r="M185" s="20">
        <f>IF(A185="","",MONTH(A185))</f>
        <v>6</v>
      </c>
    </row>
    <row r="186" spans="1:13" x14ac:dyDescent="0.25">
      <c r="A186" s="18">
        <f>IF(YEAR(DATE('Configurações'!$B$5,1,1)+181)='Configurações'!$B$5,DATE('Configurações'!$B$5,1,1)+181,"")</f>
        <v>46569</v>
      </c>
      <c r="B186" s="19">
        <f>A186</f>
        <v>46569</v>
      </c>
      <c r="C186" s="20" t="str">
        <f>IF(A186="","",IF(COUNTIF('Feriados'!$A$5:$A$84,A186)&gt;0,"Feriado",IF(WEEKDAY(A186,2)&gt;5,"Fim de semana","Dia útil")))</f>
        <v>Dia útil</v>
      </c>
      <c r="D186" s="21"/>
      <c r="E186" s="21"/>
      <c r="F186" s="14"/>
      <c r="G186" s="13"/>
      <c r="H186" s="22">
        <f>IF(AND(ISNUMBER(D186),ISNUMBER(E186)),ROUND(MOD(E186-D186,1)*24-N(F186)/60,2),0)</f>
        <v>0</v>
      </c>
      <c r="I186" s="22">
        <f>IF(C186="Dia útil",'Configurações'!$B$6,0)</f>
        <v>8</v>
      </c>
      <c r="J186" s="22">
        <f>H186+IF(OR(G186="Férias",G186="Atestado médico",G186="Consulta médica",G186="Folga de banco de horas",G186="Viagem a trabalho"),I186,IF(G186="Meio dia de férias",I186/2,0))</f>
        <v>0</v>
      </c>
      <c r="K186" s="23">
        <f>IF(OR(H186&gt;0,G186&lt;&gt;""),J186-I186,0)</f>
        <v>0</v>
      </c>
      <c r="L186" s="13"/>
      <c r="M186" s="20">
        <f>IF(A186="","",MONTH(A186))</f>
        <v>7</v>
      </c>
    </row>
    <row r="187" spans="1:13" x14ac:dyDescent="0.25">
      <c r="A187" s="18">
        <f>IF(YEAR(DATE('Configurações'!$B$5,1,1)+182)='Configurações'!$B$5,DATE('Configurações'!$B$5,1,1)+182,"")</f>
        <v>46570</v>
      </c>
      <c r="B187" s="19">
        <f>A187</f>
        <v>46570</v>
      </c>
      <c r="C187" s="20" t="str">
        <f>IF(A187="","",IF(COUNTIF('Feriados'!$A$5:$A$84,A187)&gt;0,"Feriado",IF(WEEKDAY(A187,2)&gt;5,"Fim de semana","Dia útil")))</f>
        <v>Dia útil</v>
      </c>
      <c r="D187" s="21"/>
      <c r="E187" s="21"/>
      <c r="F187" s="14"/>
      <c r="G187" s="13"/>
      <c r="H187" s="22">
        <f>IF(AND(ISNUMBER(D187),ISNUMBER(E187)),ROUND(MOD(E187-D187,1)*24-N(F187)/60,2),0)</f>
        <v>0</v>
      </c>
      <c r="I187" s="22">
        <f>IF(C187="Dia útil",'Configurações'!$B$6,0)</f>
        <v>8</v>
      </c>
      <c r="J187" s="22">
        <f>H187+IF(OR(G187="Férias",G187="Atestado médico",G187="Consulta médica",G187="Folga de banco de horas",G187="Viagem a trabalho"),I187,IF(G187="Meio dia de férias",I187/2,0))</f>
        <v>0</v>
      </c>
      <c r="K187" s="23">
        <f>IF(OR(H187&gt;0,G187&lt;&gt;""),J187-I187,0)</f>
        <v>0</v>
      </c>
      <c r="L187" s="13"/>
      <c r="M187" s="20">
        <f>IF(A187="","",MONTH(A187))</f>
        <v>7</v>
      </c>
    </row>
    <row r="188" spans="1:13" x14ac:dyDescent="0.25">
      <c r="A188" s="18">
        <f>IF(YEAR(DATE('Configurações'!$B$5,1,1)+183)='Configurações'!$B$5,DATE('Configurações'!$B$5,1,1)+183,"")</f>
        <v>46571</v>
      </c>
      <c r="B188" s="19">
        <f>A188</f>
        <v>46571</v>
      </c>
      <c r="C188" s="20" t="str">
        <f>IF(A188="","",IF(COUNTIF('Feriados'!$A$5:$A$84,A188)&gt;0,"Feriado",IF(WEEKDAY(A188,2)&gt;5,"Fim de semana","Dia útil")))</f>
        <v>Fim de semana</v>
      </c>
      <c r="D188" s="21"/>
      <c r="E188" s="21"/>
      <c r="F188" s="14"/>
      <c r="G188" s="13"/>
      <c r="H188" s="22">
        <f>IF(AND(ISNUMBER(D188),ISNUMBER(E188)),ROUND(MOD(E188-D188,1)*24-N(F188)/60,2),0)</f>
        <v>0</v>
      </c>
      <c r="I188" s="22">
        <f>IF(C188="Dia útil",'Configurações'!$B$6,0)</f>
        <v>0</v>
      </c>
      <c r="J188" s="22">
        <f>H188+IF(OR(G188="Férias",G188="Atestado médico",G188="Consulta médica",G188="Folga de banco de horas",G188="Viagem a trabalho"),I188,IF(G188="Meio dia de férias",I188/2,0))</f>
        <v>0</v>
      </c>
      <c r="K188" s="23">
        <f>IF(OR(H188&gt;0,G188&lt;&gt;""),J188-I188,0)</f>
        <v>0</v>
      </c>
      <c r="L188" s="13"/>
      <c r="M188" s="20">
        <f>IF(A188="","",MONTH(A188))</f>
        <v>7</v>
      </c>
    </row>
    <row r="189" spans="1:13" x14ac:dyDescent="0.25">
      <c r="A189" s="18">
        <f>IF(YEAR(DATE('Configurações'!$B$5,1,1)+184)='Configurações'!$B$5,DATE('Configurações'!$B$5,1,1)+184,"")</f>
        <v>46572</v>
      </c>
      <c r="B189" s="19">
        <f>A189</f>
        <v>46572</v>
      </c>
      <c r="C189" s="20" t="str">
        <f>IF(A189="","",IF(COUNTIF('Feriados'!$A$5:$A$84,A189)&gt;0,"Feriado",IF(WEEKDAY(A189,2)&gt;5,"Fim de semana","Dia útil")))</f>
        <v>Fim de semana</v>
      </c>
      <c r="D189" s="21"/>
      <c r="E189" s="21"/>
      <c r="F189" s="14"/>
      <c r="G189" s="13"/>
      <c r="H189" s="22">
        <f>IF(AND(ISNUMBER(D189),ISNUMBER(E189)),ROUND(MOD(E189-D189,1)*24-N(F189)/60,2),0)</f>
        <v>0</v>
      </c>
      <c r="I189" s="22">
        <f>IF(C189="Dia útil",'Configurações'!$B$6,0)</f>
        <v>0</v>
      </c>
      <c r="J189" s="22">
        <f>H189+IF(OR(G189="Férias",G189="Atestado médico",G189="Consulta médica",G189="Folga de banco de horas",G189="Viagem a trabalho"),I189,IF(G189="Meio dia de férias",I189/2,0))</f>
        <v>0</v>
      </c>
      <c r="K189" s="23">
        <f>IF(OR(H189&gt;0,G189&lt;&gt;""),J189-I189,0)</f>
        <v>0</v>
      </c>
      <c r="L189" s="13"/>
      <c r="M189" s="20">
        <f>IF(A189="","",MONTH(A189))</f>
        <v>7</v>
      </c>
    </row>
    <row r="190" spans="1:13" x14ac:dyDescent="0.25">
      <c r="A190" s="18">
        <f>IF(YEAR(DATE('Configurações'!$B$5,1,1)+185)='Configurações'!$B$5,DATE('Configurações'!$B$5,1,1)+185,"")</f>
        <v>46573</v>
      </c>
      <c r="B190" s="19">
        <f>A190</f>
        <v>46573</v>
      </c>
      <c r="C190" s="20" t="str">
        <f>IF(A190="","",IF(COUNTIF('Feriados'!$A$5:$A$84,A190)&gt;0,"Feriado",IF(WEEKDAY(A190,2)&gt;5,"Fim de semana","Dia útil")))</f>
        <v>Dia útil</v>
      </c>
      <c r="D190" s="21"/>
      <c r="E190" s="21"/>
      <c r="F190" s="14"/>
      <c r="G190" s="13"/>
      <c r="H190" s="22">
        <f>IF(AND(ISNUMBER(D190),ISNUMBER(E190)),ROUND(MOD(E190-D190,1)*24-N(F190)/60,2),0)</f>
        <v>0</v>
      </c>
      <c r="I190" s="22">
        <f>IF(C190="Dia útil",'Configurações'!$B$6,0)</f>
        <v>8</v>
      </c>
      <c r="J190" s="22">
        <f>H190+IF(OR(G190="Férias",G190="Atestado médico",G190="Consulta médica",G190="Folga de banco de horas",G190="Viagem a trabalho"),I190,IF(G190="Meio dia de férias",I190/2,0))</f>
        <v>0</v>
      </c>
      <c r="K190" s="23">
        <f>IF(OR(H190&gt;0,G190&lt;&gt;""),J190-I190,0)</f>
        <v>0</v>
      </c>
      <c r="L190" s="13"/>
      <c r="M190" s="20">
        <f>IF(A190="","",MONTH(A190))</f>
        <v>7</v>
      </c>
    </row>
    <row r="191" spans="1:13" x14ac:dyDescent="0.25">
      <c r="A191" s="18">
        <f>IF(YEAR(DATE('Configurações'!$B$5,1,1)+186)='Configurações'!$B$5,DATE('Configurações'!$B$5,1,1)+186,"")</f>
        <v>46574</v>
      </c>
      <c r="B191" s="19">
        <f>A191</f>
        <v>46574</v>
      </c>
      <c r="C191" s="20" t="str">
        <f>IF(A191="","",IF(COUNTIF('Feriados'!$A$5:$A$84,A191)&gt;0,"Feriado",IF(WEEKDAY(A191,2)&gt;5,"Fim de semana","Dia útil")))</f>
        <v>Dia útil</v>
      </c>
      <c r="D191" s="21"/>
      <c r="E191" s="21"/>
      <c r="F191" s="14"/>
      <c r="G191" s="13"/>
      <c r="H191" s="22">
        <f>IF(AND(ISNUMBER(D191),ISNUMBER(E191)),ROUND(MOD(E191-D191,1)*24-N(F191)/60,2),0)</f>
        <v>0</v>
      </c>
      <c r="I191" s="22">
        <f>IF(C191="Dia útil",'Configurações'!$B$6,0)</f>
        <v>8</v>
      </c>
      <c r="J191" s="22">
        <f>H191+IF(OR(G191="Férias",G191="Atestado médico",G191="Consulta médica",G191="Folga de banco de horas",G191="Viagem a trabalho"),I191,IF(G191="Meio dia de férias",I191/2,0))</f>
        <v>0</v>
      </c>
      <c r="K191" s="23">
        <f>IF(OR(H191&gt;0,G191&lt;&gt;""),J191-I191,0)</f>
        <v>0</v>
      </c>
      <c r="L191" s="13"/>
      <c r="M191" s="20">
        <f>IF(A191="","",MONTH(A191))</f>
        <v>7</v>
      </c>
    </row>
    <row r="192" spans="1:13" x14ac:dyDescent="0.25">
      <c r="A192" s="18">
        <f>IF(YEAR(DATE('Configurações'!$B$5,1,1)+187)='Configurações'!$B$5,DATE('Configurações'!$B$5,1,1)+187,"")</f>
        <v>46575</v>
      </c>
      <c r="B192" s="19">
        <f>A192</f>
        <v>46575</v>
      </c>
      <c r="C192" s="20" t="str">
        <f>IF(A192="","",IF(COUNTIF('Feriados'!$A$5:$A$84,A192)&gt;0,"Feriado",IF(WEEKDAY(A192,2)&gt;5,"Fim de semana","Dia útil")))</f>
        <v>Dia útil</v>
      </c>
      <c r="D192" s="21"/>
      <c r="E192" s="21"/>
      <c r="F192" s="14"/>
      <c r="G192" s="13"/>
      <c r="H192" s="22">
        <f>IF(AND(ISNUMBER(D192),ISNUMBER(E192)),ROUND(MOD(E192-D192,1)*24-N(F192)/60,2),0)</f>
        <v>0</v>
      </c>
      <c r="I192" s="22">
        <f>IF(C192="Dia útil",'Configurações'!$B$6,0)</f>
        <v>8</v>
      </c>
      <c r="J192" s="22">
        <f>H192+IF(OR(G192="Férias",G192="Atestado médico",G192="Consulta médica",G192="Folga de banco de horas",G192="Viagem a trabalho"),I192,IF(G192="Meio dia de férias",I192/2,0))</f>
        <v>0</v>
      </c>
      <c r="K192" s="23">
        <f>IF(OR(H192&gt;0,G192&lt;&gt;""),J192-I192,0)</f>
        <v>0</v>
      </c>
      <c r="L192" s="13"/>
      <c r="M192" s="20">
        <f>IF(A192="","",MONTH(A192))</f>
        <v>7</v>
      </c>
    </row>
    <row r="193" spans="1:13" x14ac:dyDescent="0.25">
      <c r="A193" s="18">
        <f>IF(YEAR(DATE('Configurações'!$B$5,1,1)+188)='Configurações'!$B$5,DATE('Configurações'!$B$5,1,1)+188,"")</f>
        <v>46576</v>
      </c>
      <c r="B193" s="19">
        <f>A193</f>
        <v>46576</v>
      </c>
      <c r="C193" s="20" t="str">
        <f>IF(A193="","",IF(COUNTIF('Feriados'!$A$5:$A$84,A193)&gt;0,"Feriado",IF(WEEKDAY(A193,2)&gt;5,"Fim de semana","Dia útil")))</f>
        <v>Dia útil</v>
      </c>
      <c r="D193" s="21"/>
      <c r="E193" s="21"/>
      <c r="F193" s="14"/>
      <c r="G193" s="13"/>
      <c r="H193" s="22">
        <f>IF(AND(ISNUMBER(D193),ISNUMBER(E193)),ROUND(MOD(E193-D193,1)*24-N(F193)/60,2),0)</f>
        <v>0</v>
      </c>
      <c r="I193" s="22">
        <f>IF(C193="Dia útil",'Configurações'!$B$6,0)</f>
        <v>8</v>
      </c>
      <c r="J193" s="22">
        <f>H193+IF(OR(G193="Férias",G193="Atestado médico",G193="Consulta médica",G193="Folga de banco de horas",G193="Viagem a trabalho"),I193,IF(G193="Meio dia de férias",I193/2,0))</f>
        <v>0</v>
      </c>
      <c r="K193" s="23">
        <f>IF(OR(H193&gt;0,G193&lt;&gt;""),J193-I193,0)</f>
        <v>0</v>
      </c>
      <c r="L193" s="13"/>
      <c r="M193" s="20">
        <f>IF(A193="","",MONTH(A193))</f>
        <v>7</v>
      </c>
    </row>
    <row r="194" spans="1:13" x14ac:dyDescent="0.25">
      <c r="A194" s="18">
        <f>IF(YEAR(DATE('Configurações'!$B$5,1,1)+189)='Configurações'!$B$5,DATE('Configurações'!$B$5,1,1)+189,"")</f>
        <v>46577</v>
      </c>
      <c r="B194" s="19">
        <f>A194</f>
        <v>46577</v>
      </c>
      <c r="C194" s="20" t="str">
        <f>IF(A194="","",IF(COUNTIF('Feriados'!$A$5:$A$84,A194)&gt;0,"Feriado",IF(WEEKDAY(A194,2)&gt;5,"Fim de semana","Dia útil")))</f>
        <v>Dia útil</v>
      </c>
      <c r="D194" s="21"/>
      <c r="E194" s="21"/>
      <c r="F194" s="14"/>
      <c r="G194" s="13"/>
      <c r="H194" s="22">
        <f>IF(AND(ISNUMBER(D194),ISNUMBER(E194)),ROUND(MOD(E194-D194,1)*24-N(F194)/60,2),0)</f>
        <v>0</v>
      </c>
      <c r="I194" s="22">
        <f>IF(C194="Dia útil",'Configurações'!$B$6,0)</f>
        <v>8</v>
      </c>
      <c r="J194" s="22">
        <f>H194+IF(OR(G194="Férias",G194="Atestado médico",G194="Consulta médica",G194="Folga de banco de horas",G194="Viagem a trabalho"),I194,IF(G194="Meio dia de férias",I194/2,0))</f>
        <v>0</v>
      </c>
      <c r="K194" s="23">
        <f>IF(OR(H194&gt;0,G194&lt;&gt;""),J194-I194,0)</f>
        <v>0</v>
      </c>
      <c r="L194" s="13"/>
      <c r="M194" s="20">
        <f>IF(A194="","",MONTH(A194))</f>
        <v>7</v>
      </c>
    </row>
    <row r="195" spans="1:13" x14ac:dyDescent="0.25">
      <c r="A195" s="18">
        <f>IF(YEAR(DATE('Configurações'!$B$5,1,1)+190)='Configurações'!$B$5,DATE('Configurações'!$B$5,1,1)+190,"")</f>
        <v>46578</v>
      </c>
      <c r="B195" s="19">
        <f>A195</f>
        <v>46578</v>
      </c>
      <c r="C195" s="20" t="str">
        <f>IF(A195="","",IF(COUNTIF('Feriados'!$A$5:$A$84,A195)&gt;0,"Feriado",IF(WEEKDAY(A195,2)&gt;5,"Fim de semana","Dia útil")))</f>
        <v>Fim de semana</v>
      </c>
      <c r="D195" s="21"/>
      <c r="E195" s="21"/>
      <c r="F195" s="14"/>
      <c r="G195" s="13"/>
      <c r="H195" s="22">
        <f>IF(AND(ISNUMBER(D195),ISNUMBER(E195)),ROUND(MOD(E195-D195,1)*24-N(F195)/60,2),0)</f>
        <v>0</v>
      </c>
      <c r="I195" s="22">
        <f>IF(C195="Dia útil",'Configurações'!$B$6,0)</f>
        <v>0</v>
      </c>
      <c r="J195" s="22">
        <f>H195+IF(OR(G195="Férias",G195="Atestado médico",G195="Consulta médica",G195="Folga de banco de horas",G195="Viagem a trabalho"),I195,IF(G195="Meio dia de férias",I195/2,0))</f>
        <v>0</v>
      </c>
      <c r="K195" s="23">
        <f>IF(OR(H195&gt;0,G195&lt;&gt;""),J195-I195,0)</f>
        <v>0</v>
      </c>
      <c r="L195" s="13"/>
      <c r="M195" s="20">
        <f>IF(A195="","",MONTH(A195))</f>
        <v>7</v>
      </c>
    </row>
    <row r="196" spans="1:13" x14ac:dyDescent="0.25">
      <c r="A196" s="18">
        <f>IF(YEAR(DATE('Configurações'!$B$5,1,1)+191)='Configurações'!$B$5,DATE('Configurações'!$B$5,1,1)+191,"")</f>
        <v>46579</v>
      </c>
      <c r="B196" s="19">
        <f>A196</f>
        <v>46579</v>
      </c>
      <c r="C196" s="20" t="str">
        <f>IF(A196="","",IF(COUNTIF('Feriados'!$A$5:$A$84,A196)&gt;0,"Feriado",IF(WEEKDAY(A196,2)&gt;5,"Fim de semana","Dia útil")))</f>
        <v>Fim de semana</v>
      </c>
      <c r="D196" s="21"/>
      <c r="E196" s="21"/>
      <c r="F196" s="14"/>
      <c r="G196" s="13"/>
      <c r="H196" s="22">
        <f>IF(AND(ISNUMBER(D196),ISNUMBER(E196)),ROUND(MOD(E196-D196,1)*24-N(F196)/60,2),0)</f>
        <v>0</v>
      </c>
      <c r="I196" s="22">
        <f>IF(C196="Dia útil",'Configurações'!$B$6,0)</f>
        <v>0</v>
      </c>
      <c r="J196" s="22">
        <f>H196+IF(OR(G196="Férias",G196="Atestado médico",G196="Consulta médica",G196="Folga de banco de horas",G196="Viagem a trabalho"),I196,IF(G196="Meio dia de férias",I196/2,0))</f>
        <v>0</v>
      </c>
      <c r="K196" s="23">
        <f>IF(OR(H196&gt;0,G196&lt;&gt;""),J196-I196,0)</f>
        <v>0</v>
      </c>
      <c r="L196" s="13"/>
      <c r="M196" s="20">
        <f>IF(A196="","",MONTH(A196))</f>
        <v>7</v>
      </c>
    </row>
    <row r="197" spans="1:13" x14ac:dyDescent="0.25">
      <c r="A197" s="18">
        <f>IF(YEAR(DATE('Configurações'!$B$5,1,1)+192)='Configurações'!$B$5,DATE('Configurações'!$B$5,1,1)+192,"")</f>
        <v>46580</v>
      </c>
      <c r="B197" s="19">
        <f>A197</f>
        <v>46580</v>
      </c>
      <c r="C197" s="20" t="str">
        <f>IF(A197="","",IF(COUNTIF('Feriados'!$A$5:$A$84,A197)&gt;0,"Feriado",IF(WEEKDAY(A197,2)&gt;5,"Fim de semana","Dia útil")))</f>
        <v>Dia útil</v>
      </c>
      <c r="D197" s="21"/>
      <c r="E197" s="21"/>
      <c r="F197" s="14"/>
      <c r="G197" s="13"/>
      <c r="H197" s="22">
        <f>IF(AND(ISNUMBER(D197),ISNUMBER(E197)),ROUND(MOD(E197-D197,1)*24-N(F197)/60,2),0)</f>
        <v>0</v>
      </c>
      <c r="I197" s="22">
        <f>IF(C197="Dia útil",'Configurações'!$B$6,0)</f>
        <v>8</v>
      </c>
      <c r="J197" s="22">
        <f>H197+IF(OR(G197="Férias",G197="Atestado médico",G197="Consulta médica",G197="Folga de banco de horas",G197="Viagem a trabalho"),I197,IF(G197="Meio dia de férias",I197/2,0))</f>
        <v>0</v>
      </c>
      <c r="K197" s="23">
        <f>IF(OR(H197&gt;0,G197&lt;&gt;""),J197-I197,0)</f>
        <v>0</v>
      </c>
      <c r="L197" s="13"/>
      <c r="M197" s="20">
        <f>IF(A197="","",MONTH(A197))</f>
        <v>7</v>
      </c>
    </row>
    <row r="198" spans="1:13" x14ac:dyDescent="0.25">
      <c r="A198" s="18">
        <f>IF(YEAR(DATE('Configurações'!$B$5,1,1)+193)='Configurações'!$B$5,DATE('Configurações'!$B$5,1,1)+193,"")</f>
        <v>46581</v>
      </c>
      <c r="B198" s="19">
        <f>A198</f>
        <v>46581</v>
      </c>
      <c r="C198" s="20" t="str">
        <f>IF(A198="","",IF(COUNTIF('Feriados'!$A$5:$A$84,A198)&gt;0,"Feriado",IF(WEEKDAY(A198,2)&gt;5,"Fim de semana","Dia útil")))</f>
        <v>Dia útil</v>
      </c>
      <c r="D198" s="21"/>
      <c r="E198" s="21"/>
      <c r="F198" s="14"/>
      <c r="G198" s="13"/>
      <c r="H198" s="22">
        <f>IF(AND(ISNUMBER(D198),ISNUMBER(E198)),ROUND(MOD(E198-D198,1)*24-N(F198)/60,2),0)</f>
        <v>0</v>
      </c>
      <c r="I198" s="22">
        <f>IF(C198="Dia útil",'Configurações'!$B$6,0)</f>
        <v>8</v>
      </c>
      <c r="J198" s="22">
        <f>H198+IF(OR(G198="Férias",G198="Atestado médico",G198="Consulta médica",G198="Folga de banco de horas",G198="Viagem a trabalho"),I198,IF(G198="Meio dia de férias",I198/2,0))</f>
        <v>0</v>
      </c>
      <c r="K198" s="23">
        <f>IF(OR(H198&gt;0,G198&lt;&gt;""),J198-I198,0)</f>
        <v>0</v>
      </c>
      <c r="L198" s="13"/>
      <c r="M198" s="20">
        <f>IF(A198="","",MONTH(A198))</f>
        <v>7</v>
      </c>
    </row>
    <row r="199" spans="1:13" x14ac:dyDescent="0.25">
      <c r="A199" s="18">
        <f>IF(YEAR(DATE('Configurações'!$B$5,1,1)+194)='Configurações'!$B$5,DATE('Configurações'!$B$5,1,1)+194,"")</f>
        <v>46582</v>
      </c>
      <c r="B199" s="19">
        <f>A199</f>
        <v>46582</v>
      </c>
      <c r="C199" s="20" t="str">
        <f>IF(A199="","",IF(COUNTIF('Feriados'!$A$5:$A$84,A199)&gt;0,"Feriado",IF(WEEKDAY(A199,2)&gt;5,"Fim de semana","Dia útil")))</f>
        <v>Dia útil</v>
      </c>
      <c r="D199" s="21"/>
      <c r="E199" s="21"/>
      <c r="F199" s="14"/>
      <c r="G199" s="13"/>
      <c r="H199" s="22">
        <f>IF(AND(ISNUMBER(D199),ISNUMBER(E199)),ROUND(MOD(E199-D199,1)*24-N(F199)/60,2),0)</f>
        <v>0</v>
      </c>
      <c r="I199" s="22">
        <f>IF(C199="Dia útil",'Configurações'!$B$6,0)</f>
        <v>8</v>
      </c>
      <c r="J199" s="22">
        <f>H199+IF(OR(G199="Férias",G199="Atestado médico",G199="Consulta médica",G199="Folga de banco de horas",G199="Viagem a trabalho"),I199,IF(G199="Meio dia de férias",I199/2,0))</f>
        <v>0</v>
      </c>
      <c r="K199" s="23">
        <f>IF(OR(H199&gt;0,G199&lt;&gt;""),J199-I199,0)</f>
        <v>0</v>
      </c>
      <c r="L199" s="13"/>
      <c r="M199" s="20">
        <f>IF(A199="","",MONTH(A199))</f>
        <v>7</v>
      </c>
    </row>
    <row r="200" spans="1:13" x14ac:dyDescent="0.25">
      <c r="A200" s="18">
        <f>IF(YEAR(DATE('Configurações'!$B$5,1,1)+195)='Configurações'!$B$5,DATE('Configurações'!$B$5,1,1)+195,"")</f>
        <v>46583</v>
      </c>
      <c r="B200" s="19">
        <f>A200</f>
        <v>46583</v>
      </c>
      <c r="C200" s="20" t="str">
        <f>IF(A200="","",IF(COUNTIF('Feriados'!$A$5:$A$84,A200)&gt;0,"Feriado",IF(WEEKDAY(A200,2)&gt;5,"Fim de semana","Dia útil")))</f>
        <v>Dia útil</v>
      </c>
      <c r="D200" s="21"/>
      <c r="E200" s="21"/>
      <c r="F200" s="14"/>
      <c r="G200" s="13"/>
      <c r="H200" s="22">
        <f>IF(AND(ISNUMBER(D200),ISNUMBER(E200)),ROUND(MOD(E200-D200,1)*24-N(F200)/60,2),0)</f>
        <v>0</v>
      </c>
      <c r="I200" s="22">
        <f>IF(C200="Dia útil",'Configurações'!$B$6,0)</f>
        <v>8</v>
      </c>
      <c r="J200" s="22">
        <f>H200+IF(OR(G200="Férias",G200="Atestado médico",G200="Consulta médica",G200="Folga de banco de horas",G200="Viagem a trabalho"),I200,IF(G200="Meio dia de férias",I200/2,0))</f>
        <v>0</v>
      </c>
      <c r="K200" s="23">
        <f>IF(OR(H200&gt;0,G200&lt;&gt;""),J200-I200,0)</f>
        <v>0</v>
      </c>
      <c r="L200" s="13"/>
      <c r="M200" s="20">
        <f>IF(A200="","",MONTH(A200))</f>
        <v>7</v>
      </c>
    </row>
    <row r="201" spans="1:13" x14ac:dyDescent="0.25">
      <c r="A201" s="18">
        <f>IF(YEAR(DATE('Configurações'!$B$5,1,1)+196)='Configurações'!$B$5,DATE('Configurações'!$B$5,1,1)+196,"")</f>
        <v>46584</v>
      </c>
      <c r="B201" s="19">
        <f>A201</f>
        <v>46584</v>
      </c>
      <c r="C201" s="20" t="str">
        <f>IF(A201="","",IF(COUNTIF('Feriados'!$A$5:$A$84,A201)&gt;0,"Feriado",IF(WEEKDAY(A201,2)&gt;5,"Fim de semana","Dia útil")))</f>
        <v>Dia útil</v>
      </c>
      <c r="D201" s="21"/>
      <c r="E201" s="21"/>
      <c r="F201" s="14"/>
      <c r="G201" s="13"/>
      <c r="H201" s="22">
        <f>IF(AND(ISNUMBER(D201),ISNUMBER(E201)),ROUND(MOD(E201-D201,1)*24-N(F201)/60,2),0)</f>
        <v>0</v>
      </c>
      <c r="I201" s="22">
        <f>IF(C201="Dia útil",'Configurações'!$B$6,0)</f>
        <v>8</v>
      </c>
      <c r="J201" s="22">
        <f>H201+IF(OR(G201="Férias",G201="Atestado médico",G201="Consulta médica",G201="Folga de banco de horas",G201="Viagem a trabalho"),I201,IF(G201="Meio dia de férias",I201/2,0))</f>
        <v>0</v>
      </c>
      <c r="K201" s="23">
        <f>IF(OR(H201&gt;0,G201&lt;&gt;""),J201-I201,0)</f>
        <v>0</v>
      </c>
      <c r="L201" s="13"/>
      <c r="M201" s="20">
        <f>IF(A201="","",MONTH(A201))</f>
        <v>7</v>
      </c>
    </row>
    <row r="202" spans="1:13" x14ac:dyDescent="0.25">
      <c r="A202" s="18">
        <f>IF(YEAR(DATE('Configurações'!$B$5,1,1)+197)='Configurações'!$B$5,DATE('Configurações'!$B$5,1,1)+197,"")</f>
        <v>46585</v>
      </c>
      <c r="B202" s="19">
        <f>A202</f>
        <v>46585</v>
      </c>
      <c r="C202" s="20" t="str">
        <f>IF(A202="","",IF(COUNTIF('Feriados'!$A$5:$A$84,A202)&gt;0,"Feriado",IF(WEEKDAY(A202,2)&gt;5,"Fim de semana","Dia útil")))</f>
        <v>Fim de semana</v>
      </c>
      <c r="D202" s="21"/>
      <c r="E202" s="21"/>
      <c r="F202" s="14"/>
      <c r="G202" s="13"/>
      <c r="H202" s="22">
        <f>IF(AND(ISNUMBER(D202),ISNUMBER(E202)),ROUND(MOD(E202-D202,1)*24-N(F202)/60,2),0)</f>
        <v>0</v>
      </c>
      <c r="I202" s="22">
        <f>IF(C202="Dia útil",'Configurações'!$B$6,0)</f>
        <v>0</v>
      </c>
      <c r="J202" s="22">
        <f>H202+IF(OR(G202="Férias",G202="Atestado médico",G202="Consulta médica",G202="Folga de banco de horas",G202="Viagem a trabalho"),I202,IF(G202="Meio dia de férias",I202/2,0))</f>
        <v>0</v>
      </c>
      <c r="K202" s="23">
        <f>IF(OR(H202&gt;0,G202&lt;&gt;""),J202-I202,0)</f>
        <v>0</v>
      </c>
      <c r="L202" s="13"/>
      <c r="M202" s="20">
        <f>IF(A202="","",MONTH(A202))</f>
        <v>7</v>
      </c>
    </row>
    <row r="203" spans="1:13" x14ac:dyDescent="0.25">
      <c r="A203" s="18">
        <f>IF(YEAR(DATE('Configurações'!$B$5,1,1)+198)='Configurações'!$B$5,DATE('Configurações'!$B$5,1,1)+198,"")</f>
        <v>46586</v>
      </c>
      <c r="B203" s="19">
        <f>A203</f>
        <v>46586</v>
      </c>
      <c r="C203" s="20" t="str">
        <f>IF(A203="","",IF(COUNTIF('Feriados'!$A$5:$A$84,A203)&gt;0,"Feriado",IF(WEEKDAY(A203,2)&gt;5,"Fim de semana","Dia útil")))</f>
        <v>Fim de semana</v>
      </c>
      <c r="D203" s="21"/>
      <c r="E203" s="21"/>
      <c r="F203" s="14"/>
      <c r="G203" s="13"/>
      <c r="H203" s="22">
        <f>IF(AND(ISNUMBER(D203),ISNUMBER(E203)),ROUND(MOD(E203-D203,1)*24-N(F203)/60,2),0)</f>
        <v>0</v>
      </c>
      <c r="I203" s="22">
        <f>IF(C203="Dia útil",'Configurações'!$B$6,0)</f>
        <v>0</v>
      </c>
      <c r="J203" s="22">
        <f>H203+IF(OR(G203="Férias",G203="Atestado médico",G203="Consulta médica",G203="Folga de banco de horas",G203="Viagem a trabalho"),I203,IF(G203="Meio dia de férias",I203/2,0))</f>
        <v>0</v>
      </c>
      <c r="K203" s="23">
        <f>IF(OR(H203&gt;0,G203&lt;&gt;""),J203-I203,0)</f>
        <v>0</v>
      </c>
      <c r="L203" s="13"/>
      <c r="M203" s="20">
        <f>IF(A203="","",MONTH(A203))</f>
        <v>7</v>
      </c>
    </row>
    <row r="204" spans="1:13" x14ac:dyDescent="0.25">
      <c r="A204" s="18">
        <f>IF(YEAR(DATE('Configurações'!$B$5,1,1)+199)='Configurações'!$B$5,DATE('Configurações'!$B$5,1,1)+199,"")</f>
        <v>46587</v>
      </c>
      <c r="B204" s="19">
        <f>A204</f>
        <v>46587</v>
      </c>
      <c r="C204" s="20" t="str">
        <f>IF(A204="","",IF(COUNTIF('Feriados'!$A$5:$A$84,A204)&gt;0,"Feriado",IF(WEEKDAY(A204,2)&gt;5,"Fim de semana","Dia útil")))</f>
        <v>Dia útil</v>
      </c>
      <c r="D204" s="21"/>
      <c r="E204" s="21"/>
      <c r="F204" s="14"/>
      <c r="G204" s="13"/>
      <c r="H204" s="22">
        <f>IF(AND(ISNUMBER(D204),ISNUMBER(E204)),ROUND(MOD(E204-D204,1)*24-N(F204)/60,2),0)</f>
        <v>0</v>
      </c>
      <c r="I204" s="22">
        <f>IF(C204="Dia útil",'Configurações'!$B$6,0)</f>
        <v>8</v>
      </c>
      <c r="J204" s="22">
        <f>H204+IF(OR(G204="Férias",G204="Atestado médico",G204="Consulta médica",G204="Folga de banco de horas",G204="Viagem a trabalho"),I204,IF(G204="Meio dia de férias",I204/2,0))</f>
        <v>0</v>
      </c>
      <c r="K204" s="23">
        <f>IF(OR(H204&gt;0,G204&lt;&gt;""),J204-I204,0)</f>
        <v>0</v>
      </c>
      <c r="L204" s="13"/>
      <c r="M204" s="20">
        <f>IF(A204="","",MONTH(A204))</f>
        <v>7</v>
      </c>
    </row>
    <row r="205" spans="1:13" x14ac:dyDescent="0.25">
      <c r="A205" s="18">
        <f>IF(YEAR(DATE('Configurações'!$B$5,1,1)+200)='Configurações'!$B$5,DATE('Configurações'!$B$5,1,1)+200,"")</f>
        <v>46588</v>
      </c>
      <c r="B205" s="19">
        <f>A205</f>
        <v>46588</v>
      </c>
      <c r="C205" s="20" t="str">
        <f>IF(A205="","",IF(COUNTIF('Feriados'!$A$5:$A$84,A205)&gt;0,"Feriado",IF(WEEKDAY(A205,2)&gt;5,"Fim de semana","Dia útil")))</f>
        <v>Dia útil</v>
      </c>
      <c r="D205" s="21"/>
      <c r="E205" s="21"/>
      <c r="F205" s="14"/>
      <c r="G205" s="13"/>
      <c r="H205" s="22">
        <f>IF(AND(ISNUMBER(D205),ISNUMBER(E205)),ROUND(MOD(E205-D205,1)*24-N(F205)/60,2),0)</f>
        <v>0</v>
      </c>
      <c r="I205" s="22">
        <f>IF(C205="Dia útil",'Configurações'!$B$6,0)</f>
        <v>8</v>
      </c>
      <c r="J205" s="22">
        <f>H205+IF(OR(G205="Férias",G205="Atestado médico",G205="Consulta médica",G205="Folga de banco de horas",G205="Viagem a trabalho"),I205,IF(G205="Meio dia de férias",I205/2,0))</f>
        <v>0</v>
      </c>
      <c r="K205" s="23">
        <f>IF(OR(H205&gt;0,G205&lt;&gt;""),J205-I205,0)</f>
        <v>0</v>
      </c>
      <c r="L205" s="13"/>
      <c r="M205" s="20">
        <f>IF(A205="","",MONTH(A205))</f>
        <v>7</v>
      </c>
    </row>
    <row r="206" spans="1:13" x14ac:dyDescent="0.25">
      <c r="A206" s="18">
        <f>IF(YEAR(DATE('Configurações'!$B$5,1,1)+201)='Configurações'!$B$5,DATE('Configurações'!$B$5,1,1)+201,"")</f>
        <v>46589</v>
      </c>
      <c r="B206" s="19">
        <f>A206</f>
        <v>46589</v>
      </c>
      <c r="C206" s="20" t="str">
        <f>IF(A206="","",IF(COUNTIF('Feriados'!$A$5:$A$84,A206)&gt;0,"Feriado",IF(WEEKDAY(A206,2)&gt;5,"Fim de semana","Dia útil")))</f>
        <v>Dia útil</v>
      </c>
      <c r="D206" s="21"/>
      <c r="E206" s="21"/>
      <c r="F206" s="14"/>
      <c r="G206" s="13"/>
      <c r="H206" s="22">
        <f>IF(AND(ISNUMBER(D206),ISNUMBER(E206)),ROUND(MOD(E206-D206,1)*24-N(F206)/60,2),0)</f>
        <v>0</v>
      </c>
      <c r="I206" s="22">
        <f>IF(C206="Dia útil",'Configurações'!$B$6,0)</f>
        <v>8</v>
      </c>
      <c r="J206" s="22">
        <f>H206+IF(OR(G206="Férias",G206="Atestado médico",G206="Consulta médica",G206="Folga de banco de horas",G206="Viagem a trabalho"),I206,IF(G206="Meio dia de férias",I206/2,0))</f>
        <v>0</v>
      </c>
      <c r="K206" s="23">
        <f>IF(OR(H206&gt;0,G206&lt;&gt;""),J206-I206,0)</f>
        <v>0</v>
      </c>
      <c r="L206" s="13"/>
      <c r="M206" s="20">
        <f>IF(A206="","",MONTH(A206))</f>
        <v>7</v>
      </c>
    </row>
    <row r="207" spans="1:13" x14ac:dyDescent="0.25">
      <c r="A207" s="18">
        <f>IF(YEAR(DATE('Configurações'!$B$5,1,1)+202)='Configurações'!$B$5,DATE('Configurações'!$B$5,1,1)+202,"")</f>
        <v>46590</v>
      </c>
      <c r="B207" s="19">
        <f>A207</f>
        <v>46590</v>
      </c>
      <c r="C207" s="20" t="str">
        <f>IF(A207="","",IF(COUNTIF('Feriados'!$A$5:$A$84,A207)&gt;0,"Feriado",IF(WEEKDAY(A207,2)&gt;5,"Fim de semana","Dia útil")))</f>
        <v>Dia útil</v>
      </c>
      <c r="D207" s="21"/>
      <c r="E207" s="21"/>
      <c r="F207" s="14"/>
      <c r="G207" s="13"/>
      <c r="H207" s="22">
        <f>IF(AND(ISNUMBER(D207),ISNUMBER(E207)),ROUND(MOD(E207-D207,1)*24-N(F207)/60,2),0)</f>
        <v>0</v>
      </c>
      <c r="I207" s="22">
        <f>IF(C207="Dia útil",'Configurações'!$B$6,0)</f>
        <v>8</v>
      </c>
      <c r="J207" s="22">
        <f>H207+IF(OR(G207="Férias",G207="Atestado médico",G207="Consulta médica",G207="Folga de banco de horas",G207="Viagem a trabalho"),I207,IF(G207="Meio dia de férias",I207/2,0))</f>
        <v>0</v>
      </c>
      <c r="K207" s="23">
        <f>IF(OR(H207&gt;0,G207&lt;&gt;""),J207-I207,0)</f>
        <v>0</v>
      </c>
      <c r="L207" s="13"/>
      <c r="M207" s="20">
        <f>IF(A207="","",MONTH(A207))</f>
        <v>7</v>
      </c>
    </row>
    <row r="208" spans="1:13" x14ac:dyDescent="0.25">
      <c r="A208" s="18">
        <f>IF(YEAR(DATE('Configurações'!$B$5,1,1)+203)='Configurações'!$B$5,DATE('Configurações'!$B$5,1,1)+203,"")</f>
        <v>46591</v>
      </c>
      <c r="B208" s="19">
        <f>A208</f>
        <v>46591</v>
      </c>
      <c r="C208" s="20" t="str">
        <f>IF(A208="","",IF(COUNTIF('Feriados'!$A$5:$A$84,A208)&gt;0,"Feriado",IF(WEEKDAY(A208,2)&gt;5,"Fim de semana","Dia útil")))</f>
        <v>Dia útil</v>
      </c>
      <c r="D208" s="21"/>
      <c r="E208" s="21"/>
      <c r="F208" s="14"/>
      <c r="G208" s="13"/>
      <c r="H208" s="22">
        <f>IF(AND(ISNUMBER(D208),ISNUMBER(E208)),ROUND(MOD(E208-D208,1)*24-N(F208)/60,2),0)</f>
        <v>0</v>
      </c>
      <c r="I208" s="22">
        <f>IF(C208="Dia útil",'Configurações'!$B$6,0)</f>
        <v>8</v>
      </c>
      <c r="J208" s="22">
        <f>H208+IF(OR(G208="Férias",G208="Atestado médico",G208="Consulta médica",G208="Folga de banco de horas",G208="Viagem a trabalho"),I208,IF(G208="Meio dia de férias",I208/2,0))</f>
        <v>0</v>
      </c>
      <c r="K208" s="23">
        <f>IF(OR(H208&gt;0,G208&lt;&gt;""),J208-I208,0)</f>
        <v>0</v>
      </c>
      <c r="L208" s="13"/>
      <c r="M208" s="20">
        <f>IF(A208="","",MONTH(A208))</f>
        <v>7</v>
      </c>
    </row>
    <row r="209" spans="1:13" x14ac:dyDescent="0.25">
      <c r="A209" s="18">
        <f>IF(YEAR(DATE('Configurações'!$B$5,1,1)+204)='Configurações'!$B$5,DATE('Configurações'!$B$5,1,1)+204,"")</f>
        <v>46592</v>
      </c>
      <c r="B209" s="19">
        <f>A209</f>
        <v>46592</v>
      </c>
      <c r="C209" s="20" t="str">
        <f>IF(A209="","",IF(COUNTIF('Feriados'!$A$5:$A$84,A209)&gt;0,"Feriado",IF(WEEKDAY(A209,2)&gt;5,"Fim de semana","Dia útil")))</f>
        <v>Fim de semana</v>
      </c>
      <c r="D209" s="21"/>
      <c r="E209" s="21"/>
      <c r="F209" s="14"/>
      <c r="G209" s="13"/>
      <c r="H209" s="22">
        <f>IF(AND(ISNUMBER(D209),ISNUMBER(E209)),ROUND(MOD(E209-D209,1)*24-N(F209)/60,2),0)</f>
        <v>0</v>
      </c>
      <c r="I209" s="22">
        <f>IF(C209="Dia útil",'Configurações'!$B$6,0)</f>
        <v>0</v>
      </c>
      <c r="J209" s="22">
        <f>H209+IF(OR(G209="Férias",G209="Atestado médico",G209="Consulta médica",G209="Folga de banco de horas",G209="Viagem a trabalho"),I209,IF(G209="Meio dia de férias",I209/2,0))</f>
        <v>0</v>
      </c>
      <c r="K209" s="23">
        <f>IF(OR(H209&gt;0,G209&lt;&gt;""),J209-I209,0)</f>
        <v>0</v>
      </c>
      <c r="L209" s="13"/>
      <c r="M209" s="20">
        <f>IF(A209="","",MONTH(A209))</f>
        <v>7</v>
      </c>
    </row>
    <row r="210" spans="1:13" x14ac:dyDescent="0.25">
      <c r="A210" s="18">
        <f>IF(YEAR(DATE('Configurações'!$B$5,1,1)+205)='Configurações'!$B$5,DATE('Configurações'!$B$5,1,1)+205,"")</f>
        <v>46593</v>
      </c>
      <c r="B210" s="19">
        <f>A210</f>
        <v>46593</v>
      </c>
      <c r="C210" s="20" t="str">
        <f>IF(A210="","",IF(COUNTIF('Feriados'!$A$5:$A$84,A210)&gt;0,"Feriado",IF(WEEKDAY(A210,2)&gt;5,"Fim de semana","Dia útil")))</f>
        <v>Fim de semana</v>
      </c>
      <c r="D210" s="21"/>
      <c r="E210" s="21"/>
      <c r="F210" s="14"/>
      <c r="G210" s="13"/>
      <c r="H210" s="22">
        <f>IF(AND(ISNUMBER(D210),ISNUMBER(E210)),ROUND(MOD(E210-D210,1)*24-N(F210)/60,2),0)</f>
        <v>0</v>
      </c>
      <c r="I210" s="22">
        <f>IF(C210="Dia útil",'Configurações'!$B$6,0)</f>
        <v>0</v>
      </c>
      <c r="J210" s="22">
        <f>H210+IF(OR(G210="Férias",G210="Atestado médico",G210="Consulta médica",G210="Folga de banco de horas",G210="Viagem a trabalho"),I210,IF(G210="Meio dia de férias",I210/2,0))</f>
        <v>0</v>
      </c>
      <c r="K210" s="23">
        <f>IF(OR(H210&gt;0,G210&lt;&gt;""),J210-I210,0)</f>
        <v>0</v>
      </c>
      <c r="L210" s="13"/>
      <c r="M210" s="20">
        <f>IF(A210="","",MONTH(A210))</f>
        <v>7</v>
      </c>
    </row>
    <row r="211" spans="1:13" x14ac:dyDescent="0.25">
      <c r="A211" s="18">
        <f>IF(YEAR(DATE('Configurações'!$B$5,1,1)+206)='Configurações'!$B$5,DATE('Configurações'!$B$5,1,1)+206,"")</f>
        <v>46594</v>
      </c>
      <c r="B211" s="19">
        <f>A211</f>
        <v>46594</v>
      </c>
      <c r="C211" s="20" t="str">
        <f>IF(A211="","",IF(COUNTIF('Feriados'!$A$5:$A$84,A211)&gt;0,"Feriado",IF(WEEKDAY(A211,2)&gt;5,"Fim de semana","Dia útil")))</f>
        <v>Dia útil</v>
      </c>
      <c r="D211" s="21"/>
      <c r="E211" s="21"/>
      <c r="F211" s="14"/>
      <c r="G211" s="13"/>
      <c r="H211" s="22">
        <f>IF(AND(ISNUMBER(D211),ISNUMBER(E211)),ROUND(MOD(E211-D211,1)*24-N(F211)/60,2),0)</f>
        <v>0</v>
      </c>
      <c r="I211" s="22">
        <f>IF(C211="Dia útil",'Configurações'!$B$6,0)</f>
        <v>8</v>
      </c>
      <c r="J211" s="22">
        <f>H211+IF(OR(G211="Férias",G211="Atestado médico",G211="Consulta médica",G211="Folga de banco de horas",G211="Viagem a trabalho"),I211,IF(G211="Meio dia de férias",I211/2,0))</f>
        <v>0</v>
      </c>
      <c r="K211" s="23">
        <f>IF(OR(H211&gt;0,G211&lt;&gt;""),J211-I211,0)</f>
        <v>0</v>
      </c>
      <c r="L211" s="13"/>
      <c r="M211" s="20">
        <f>IF(A211="","",MONTH(A211))</f>
        <v>7</v>
      </c>
    </row>
    <row r="212" spans="1:13" x14ac:dyDescent="0.25">
      <c r="A212" s="18">
        <f>IF(YEAR(DATE('Configurações'!$B$5,1,1)+207)='Configurações'!$B$5,DATE('Configurações'!$B$5,1,1)+207,"")</f>
        <v>46595</v>
      </c>
      <c r="B212" s="19">
        <f>A212</f>
        <v>46595</v>
      </c>
      <c r="C212" s="20" t="str">
        <f>IF(A212="","",IF(COUNTIF('Feriados'!$A$5:$A$84,A212)&gt;0,"Feriado",IF(WEEKDAY(A212,2)&gt;5,"Fim de semana","Dia útil")))</f>
        <v>Dia útil</v>
      </c>
      <c r="D212" s="21"/>
      <c r="E212" s="21"/>
      <c r="F212" s="14"/>
      <c r="G212" s="13"/>
      <c r="H212" s="22">
        <f>IF(AND(ISNUMBER(D212),ISNUMBER(E212)),ROUND(MOD(E212-D212,1)*24-N(F212)/60,2),0)</f>
        <v>0</v>
      </c>
      <c r="I212" s="22">
        <f>IF(C212="Dia útil",'Configurações'!$B$6,0)</f>
        <v>8</v>
      </c>
      <c r="J212" s="22">
        <f>H212+IF(OR(G212="Férias",G212="Atestado médico",G212="Consulta médica",G212="Folga de banco de horas",G212="Viagem a trabalho"),I212,IF(G212="Meio dia de férias",I212/2,0))</f>
        <v>0</v>
      </c>
      <c r="K212" s="23">
        <f>IF(OR(H212&gt;0,G212&lt;&gt;""),J212-I212,0)</f>
        <v>0</v>
      </c>
      <c r="L212" s="13"/>
      <c r="M212" s="20">
        <f>IF(A212="","",MONTH(A212))</f>
        <v>7</v>
      </c>
    </row>
    <row r="213" spans="1:13" x14ac:dyDescent="0.25">
      <c r="A213" s="18">
        <f>IF(YEAR(DATE('Configurações'!$B$5,1,1)+208)='Configurações'!$B$5,DATE('Configurações'!$B$5,1,1)+208,"")</f>
        <v>46596</v>
      </c>
      <c r="B213" s="19">
        <f>A213</f>
        <v>46596</v>
      </c>
      <c r="C213" s="20" t="str">
        <f>IF(A213="","",IF(COUNTIF('Feriados'!$A$5:$A$84,A213)&gt;0,"Feriado",IF(WEEKDAY(A213,2)&gt;5,"Fim de semana","Dia útil")))</f>
        <v>Dia útil</v>
      </c>
      <c r="D213" s="21"/>
      <c r="E213" s="21"/>
      <c r="F213" s="14"/>
      <c r="G213" s="13"/>
      <c r="H213" s="22">
        <f>IF(AND(ISNUMBER(D213),ISNUMBER(E213)),ROUND(MOD(E213-D213,1)*24-N(F213)/60,2),0)</f>
        <v>0</v>
      </c>
      <c r="I213" s="22">
        <f>IF(C213="Dia útil",'Configurações'!$B$6,0)</f>
        <v>8</v>
      </c>
      <c r="J213" s="22">
        <f>H213+IF(OR(G213="Férias",G213="Atestado médico",G213="Consulta médica",G213="Folga de banco de horas",G213="Viagem a trabalho"),I213,IF(G213="Meio dia de férias",I213/2,0))</f>
        <v>0</v>
      </c>
      <c r="K213" s="23">
        <f>IF(OR(H213&gt;0,G213&lt;&gt;""),J213-I213,0)</f>
        <v>0</v>
      </c>
      <c r="L213" s="13"/>
      <c r="M213" s="20">
        <f>IF(A213="","",MONTH(A213))</f>
        <v>7</v>
      </c>
    </row>
    <row r="214" spans="1:13" x14ac:dyDescent="0.25">
      <c r="A214" s="18">
        <f>IF(YEAR(DATE('Configurações'!$B$5,1,1)+209)='Configurações'!$B$5,DATE('Configurações'!$B$5,1,1)+209,"")</f>
        <v>46597</v>
      </c>
      <c r="B214" s="19">
        <f>A214</f>
        <v>46597</v>
      </c>
      <c r="C214" s="20" t="str">
        <f>IF(A214="","",IF(COUNTIF('Feriados'!$A$5:$A$84,A214)&gt;0,"Feriado",IF(WEEKDAY(A214,2)&gt;5,"Fim de semana","Dia útil")))</f>
        <v>Dia útil</v>
      </c>
      <c r="D214" s="21"/>
      <c r="E214" s="21"/>
      <c r="F214" s="14"/>
      <c r="G214" s="13"/>
      <c r="H214" s="22">
        <f>IF(AND(ISNUMBER(D214),ISNUMBER(E214)),ROUND(MOD(E214-D214,1)*24-N(F214)/60,2),0)</f>
        <v>0</v>
      </c>
      <c r="I214" s="22">
        <f>IF(C214="Dia útil",'Configurações'!$B$6,0)</f>
        <v>8</v>
      </c>
      <c r="J214" s="22">
        <f>H214+IF(OR(G214="Férias",G214="Atestado médico",G214="Consulta médica",G214="Folga de banco de horas",G214="Viagem a trabalho"),I214,IF(G214="Meio dia de férias",I214/2,0))</f>
        <v>0</v>
      </c>
      <c r="K214" s="23">
        <f>IF(OR(H214&gt;0,G214&lt;&gt;""),J214-I214,0)</f>
        <v>0</v>
      </c>
      <c r="L214" s="13"/>
      <c r="M214" s="20">
        <f>IF(A214="","",MONTH(A214))</f>
        <v>7</v>
      </c>
    </row>
    <row r="215" spans="1:13" x14ac:dyDescent="0.25">
      <c r="A215" s="18">
        <f>IF(YEAR(DATE('Configurações'!$B$5,1,1)+210)='Configurações'!$B$5,DATE('Configurações'!$B$5,1,1)+210,"")</f>
        <v>46598</v>
      </c>
      <c r="B215" s="19">
        <f>A215</f>
        <v>46598</v>
      </c>
      <c r="C215" s="20" t="str">
        <f>IF(A215="","",IF(COUNTIF('Feriados'!$A$5:$A$84,A215)&gt;0,"Feriado",IF(WEEKDAY(A215,2)&gt;5,"Fim de semana","Dia útil")))</f>
        <v>Dia útil</v>
      </c>
      <c r="D215" s="21"/>
      <c r="E215" s="21"/>
      <c r="F215" s="14"/>
      <c r="G215" s="13"/>
      <c r="H215" s="22">
        <f>IF(AND(ISNUMBER(D215),ISNUMBER(E215)),ROUND(MOD(E215-D215,1)*24-N(F215)/60,2),0)</f>
        <v>0</v>
      </c>
      <c r="I215" s="22">
        <f>IF(C215="Dia útil",'Configurações'!$B$6,0)</f>
        <v>8</v>
      </c>
      <c r="J215" s="22">
        <f>H215+IF(OR(G215="Férias",G215="Atestado médico",G215="Consulta médica",G215="Folga de banco de horas",G215="Viagem a trabalho"),I215,IF(G215="Meio dia de férias",I215/2,0))</f>
        <v>0</v>
      </c>
      <c r="K215" s="23">
        <f>IF(OR(H215&gt;0,G215&lt;&gt;""),J215-I215,0)</f>
        <v>0</v>
      </c>
      <c r="L215" s="13"/>
      <c r="M215" s="20">
        <f>IF(A215="","",MONTH(A215))</f>
        <v>7</v>
      </c>
    </row>
    <row r="216" spans="1:13" x14ac:dyDescent="0.25">
      <c r="A216" s="18">
        <f>IF(YEAR(DATE('Configurações'!$B$5,1,1)+211)='Configurações'!$B$5,DATE('Configurações'!$B$5,1,1)+211,"")</f>
        <v>46599</v>
      </c>
      <c r="B216" s="19">
        <f>A216</f>
        <v>46599</v>
      </c>
      <c r="C216" s="20" t="str">
        <f>IF(A216="","",IF(COUNTIF('Feriados'!$A$5:$A$84,A216)&gt;0,"Feriado",IF(WEEKDAY(A216,2)&gt;5,"Fim de semana","Dia útil")))</f>
        <v>Fim de semana</v>
      </c>
      <c r="D216" s="21"/>
      <c r="E216" s="21"/>
      <c r="F216" s="14"/>
      <c r="G216" s="13"/>
      <c r="H216" s="22">
        <f>IF(AND(ISNUMBER(D216),ISNUMBER(E216)),ROUND(MOD(E216-D216,1)*24-N(F216)/60,2),0)</f>
        <v>0</v>
      </c>
      <c r="I216" s="22">
        <f>IF(C216="Dia útil",'Configurações'!$B$6,0)</f>
        <v>0</v>
      </c>
      <c r="J216" s="22">
        <f>H216+IF(OR(G216="Férias",G216="Atestado médico",G216="Consulta médica",G216="Folga de banco de horas",G216="Viagem a trabalho"),I216,IF(G216="Meio dia de férias",I216/2,0))</f>
        <v>0</v>
      </c>
      <c r="K216" s="23">
        <f>IF(OR(H216&gt;0,G216&lt;&gt;""),J216-I216,0)</f>
        <v>0</v>
      </c>
      <c r="L216" s="13"/>
      <c r="M216" s="20">
        <f>IF(A216="","",MONTH(A216))</f>
        <v>7</v>
      </c>
    </row>
    <row r="217" spans="1:13" x14ac:dyDescent="0.25">
      <c r="A217" s="18">
        <f>IF(YEAR(DATE('Configurações'!$B$5,1,1)+212)='Configurações'!$B$5,DATE('Configurações'!$B$5,1,1)+212,"")</f>
        <v>46600</v>
      </c>
      <c r="B217" s="19">
        <f>A217</f>
        <v>46600</v>
      </c>
      <c r="C217" s="20" t="str">
        <f>IF(A217="","",IF(COUNTIF('Feriados'!$A$5:$A$84,A217)&gt;0,"Feriado",IF(WEEKDAY(A217,2)&gt;5,"Fim de semana","Dia útil")))</f>
        <v>Fim de semana</v>
      </c>
      <c r="D217" s="21"/>
      <c r="E217" s="21"/>
      <c r="F217" s="14"/>
      <c r="G217" s="13"/>
      <c r="H217" s="22">
        <f>IF(AND(ISNUMBER(D217),ISNUMBER(E217)),ROUND(MOD(E217-D217,1)*24-N(F217)/60,2),0)</f>
        <v>0</v>
      </c>
      <c r="I217" s="22">
        <f>IF(C217="Dia útil",'Configurações'!$B$6,0)</f>
        <v>0</v>
      </c>
      <c r="J217" s="22">
        <f>H217+IF(OR(G217="Férias",G217="Atestado médico",G217="Consulta médica",G217="Folga de banco de horas",G217="Viagem a trabalho"),I217,IF(G217="Meio dia de férias",I217/2,0))</f>
        <v>0</v>
      </c>
      <c r="K217" s="23">
        <f>IF(OR(H217&gt;0,G217&lt;&gt;""),J217-I217,0)</f>
        <v>0</v>
      </c>
      <c r="L217" s="13"/>
      <c r="M217" s="20">
        <f>IF(A217="","",MONTH(A217))</f>
        <v>8</v>
      </c>
    </row>
    <row r="218" spans="1:13" x14ac:dyDescent="0.25">
      <c r="A218" s="18">
        <f>IF(YEAR(DATE('Configurações'!$B$5,1,1)+213)='Configurações'!$B$5,DATE('Configurações'!$B$5,1,1)+213,"")</f>
        <v>46601</v>
      </c>
      <c r="B218" s="19">
        <f>A218</f>
        <v>46601</v>
      </c>
      <c r="C218" s="20" t="str">
        <f>IF(A218="","",IF(COUNTIF('Feriados'!$A$5:$A$84,A218)&gt;0,"Feriado",IF(WEEKDAY(A218,2)&gt;5,"Fim de semana","Dia útil")))</f>
        <v>Dia útil</v>
      </c>
      <c r="D218" s="21"/>
      <c r="E218" s="21"/>
      <c r="F218" s="14"/>
      <c r="G218" s="13"/>
      <c r="H218" s="22">
        <f>IF(AND(ISNUMBER(D218),ISNUMBER(E218)),ROUND(MOD(E218-D218,1)*24-N(F218)/60,2),0)</f>
        <v>0</v>
      </c>
      <c r="I218" s="22">
        <f>IF(C218="Dia útil",'Configurações'!$B$6,0)</f>
        <v>8</v>
      </c>
      <c r="J218" s="22">
        <f>H218+IF(OR(G218="Férias",G218="Atestado médico",G218="Consulta médica",G218="Folga de banco de horas",G218="Viagem a trabalho"),I218,IF(G218="Meio dia de férias",I218/2,0))</f>
        <v>0</v>
      </c>
      <c r="K218" s="23">
        <f>IF(OR(H218&gt;0,G218&lt;&gt;""),J218-I218,0)</f>
        <v>0</v>
      </c>
      <c r="L218" s="13"/>
      <c r="M218" s="20">
        <f>IF(A218="","",MONTH(A218))</f>
        <v>8</v>
      </c>
    </row>
    <row r="219" spans="1:13" x14ac:dyDescent="0.25">
      <c r="A219" s="18">
        <f>IF(YEAR(DATE('Configurações'!$B$5,1,1)+214)='Configurações'!$B$5,DATE('Configurações'!$B$5,1,1)+214,"")</f>
        <v>46602</v>
      </c>
      <c r="B219" s="19">
        <f>A219</f>
        <v>46602</v>
      </c>
      <c r="C219" s="20" t="str">
        <f>IF(A219="","",IF(COUNTIF('Feriados'!$A$5:$A$84,A219)&gt;0,"Feriado",IF(WEEKDAY(A219,2)&gt;5,"Fim de semana","Dia útil")))</f>
        <v>Dia útil</v>
      </c>
      <c r="D219" s="21"/>
      <c r="E219" s="21"/>
      <c r="F219" s="14"/>
      <c r="G219" s="13"/>
      <c r="H219" s="22">
        <f>IF(AND(ISNUMBER(D219),ISNUMBER(E219)),ROUND(MOD(E219-D219,1)*24-N(F219)/60,2),0)</f>
        <v>0</v>
      </c>
      <c r="I219" s="22">
        <f>IF(C219="Dia útil",'Configurações'!$B$6,0)</f>
        <v>8</v>
      </c>
      <c r="J219" s="22">
        <f>H219+IF(OR(G219="Férias",G219="Atestado médico",G219="Consulta médica",G219="Folga de banco de horas",G219="Viagem a trabalho"),I219,IF(G219="Meio dia de férias",I219/2,0))</f>
        <v>0</v>
      </c>
      <c r="K219" s="23">
        <f>IF(OR(H219&gt;0,G219&lt;&gt;""),J219-I219,0)</f>
        <v>0</v>
      </c>
      <c r="L219" s="13"/>
      <c r="M219" s="20">
        <f>IF(A219="","",MONTH(A219))</f>
        <v>8</v>
      </c>
    </row>
    <row r="220" spans="1:13" x14ac:dyDescent="0.25">
      <c r="A220" s="18">
        <f>IF(YEAR(DATE('Configurações'!$B$5,1,1)+215)='Configurações'!$B$5,DATE('Configurações'!$B$5,1,1)+215,"")</f>
        <v>46603</v>
      </c>
      <c r="B220" s="19">
        <f>A220</f>
        <v>46603</v>
      </c>
      <c r="C220" s="20" t="str">
        <f>IF(A220="","",IF(COUNTIF('Feriados'!$A$5:$A$84,A220)&gt;0,"Feriado",IF(WEEKDAY(A220,2)&gt;5,"Fim de semana","Dia útil")))</f>
        <v>Dia útil</v>
      </c>
      <c r="D220" s="21"/>
      <c r="E220" s="21"/>
      <c r="F220" s="14"/>
      <c r="G220" s="13"/>
      <c r="H220" s="22">
        <f>IF(AND(ISNUMBER(D220),ISNUMBER(E220)),ROUND(MOD(E220-D220,1)*24-N(F220)/60,2),0)</f>
        <v>0</v>
      </c>
      <c r="I220" s="22">
        <f>IF(C220="Dia útil",'Configurações'!$B$6,0)</f>
        <v>8</v>
      </c>
      <c r="J220" s="22">
        <f>H220+IF(OR(G220="Férias",G220="Atestado médico",G220="Consulta médica",G220="Folga de banco de horas",G220="Viagem a trabalho"),I220,IF(G220="Meio dia de férias",I220/2,0))</f>
        <v>0</v>
      </c>
      <c r="K220" s="23">
        <f>IF(OR(H220&gt;0,G220&lt;&gt;""),J220-I220,0)</f>
        <v>0</v>
      </c>
      <c r="L220" s="13"/>
      <c r="M220" s="20">
        <f>IF(A220="","",MONTH(A220))</f>
        <v>8</v>
      </c>
    </row>
    <row r="221" spans="1:13" x14ac:dyDescent="0.25">
      <c r="A221" s="18">
        <f>IF(YEAR(DATE('Configurações'!$B$5,1,1)+216)='Configurações'!$B$5,DATE('Configurações'!$B$5,1,1)+216,"")</f>
        <v>46604</v>
      </c>
      <c r="B221" s="19">
        <f>A221</f>
        <v>46604</v>
      </c>
      <c r="C221" s="20" t="str">
        <f>IF(A221="","",IF(COUNTIF('Feriados'!$A$5:$A$84,A221)&gt;0,"Feriado",IF(WEEKDAY(A221,2)&gt;5,"Fim de semana","Dia útil")))</f>
        <v>Dia útil</v>
      </c>
      <c r="D221" s="21"/>
      <c r="E221" s="21"/>
      <c r="F221" s="14"/>
      <c r="G221" s="13"/>
      <c r="H221" s="22">
        <f>IF(AND(ISNUMBER(D221),ISNUMBER(E221)),ROUND(MOD(E221-D221,1)*24-N(F221)/60,2),0)</f>
        <v>0</v>
      </c>
      <c r="I221" s="22">
        <f>IF(C221="Dia útil",'Configurações'!$B$6,0)</f>
        <v>8</v>
      </c>
      <c r="J221" s="22">
        <f>H221+IF(OR(G221="Férias",G221="Atestado médico",G221="Consulta médica",G221="Folga de banco de horas",G221="Viagem a trabalho"),I221,IF(G221="Meio dia de férias",I221/2,0))</f>
        <v>0</v>
      </c>
      <c r="K221" s="23">
        <f>IF(OR(H221&gt;0,G221&lt;&gt;""),J221-I221,0)</f>
        <v>0</v>
      </c>
      <c r="L221" s="13"/>
      <c r="M221" s="20">
        <f>IF(A221="","",MONTH(A221))</f>
        <v>8</v>
      </c>
    </row>
    <row r="222" spans="1:13" x14ac:dyDescent="0.25">
      <c r="A222" s="18">
        <f>IF(YEAR(DATE('Configurações'!$B$5,1,1)+217)='Configurações'!$B$5,DATE('Configurações'!$B$5,1,1)+217,"")</f>
        <v>46605</v>
      </c>
      <c r="B222" s="19">
        <f>A222</f>
        <v>46605</v>
      </c>
      <c r="C222" s="20" t="str">
        <f>IF(A222="","",IF(COUNTIF('Feriados'!$A$5:$A$84,A222)&gt;0,"Feriado",IF(WEEKDAY(A222,2)&gt;5,"Fim de semana","Dia útil")))</f>
        <v>Dia útil</v>
      </c>
      <c r="D222" s="21"/>
      <c r="E222" s="21"/>
      <c r="F222" s="14"/>
      <c r="G222" s="13"/>
      <c r="H222" s="22">
        <f>IF(AND(ISNUMBER(D222),ISNUMBER(E222)),ROUND(MOD(E222-D222,1)*24-N(F222)/60,2),0)</f>
        <v>0</v>
      </c>
      <c r="I222" s="22">
        <f>IF(C222="Dia útil",'Configurações'!$B$6,0)</f>
        <v>8</v>
      </c>
      <c r="J222" s="22">
        <f>H222+IF(OR(G222="Férias",G222="Atestado médico",G222="Consulta médica",G222="Folga de banco de horas",G222="Viagem a trabalho"),I222,IF(G222="Meio dia de férias",I222/2,0))</f>
        <v>0</v>
      </c>
      <c r="K222" s="23">
        <f>IF(OR(H222&gt;0,G222&lt;&gt;""),J222-I222,0)</f>
        <v>0</v>
      </c>
      <c r="L222" s="13"/>
      <c r="M222" s="20">
        <f>IF(A222="","",MONTH(A222))</f>
        <v>8</v>
      </c>
    </row>
    <row r="223" spans="1:13" x14ac:dyDescent="0.25">
      <c r="A223" s="18">
        <f>IF(YEAR(DATE('Configurações'!$B$5,1,1)+218)='Configurações'!$B$5,DATE('Configurações'!$B$5,1,1)+218,"")</f>
        <v>46606</v>
      </c>
      <c r="B223" s="19">
        <f>A223</f>
        <v>46606</v>
      </c>
      <c r="C223" s="20" t="str">
        <f>IF(A223="","",IF(COUNTIF('Feriados'!$A$5:$A$84,A223)&gt;0,"Feriado",IF(WEEKDAY(A223,2)&gt;5,"Fim de semana","Dia útil")))</f>
        <v>Fim de semana</v>
      </c>
      <c r="D223" s="21"/>
      <c r="E223" s="21"/>
      <c r="F223" s="14"/>
      <c r="G223" s="13"/>
      <c r="H223" s="22">
        <f>IF(AND(ISNUMBER(D223),ISNUMBER(E223)),ROUND(MOD(E223-D223,1)*24-N(F223)/60,2),0)</f>
        <v>0</v>
      </c>
      <c r="I223" s="22">
        <f>IF(C223="Dia útil",'Configurações'!$B$6,0)</f>
        <v>0</v>
      </c>
      <c r="J223" s="22">
        <f>H223+IF(OR(G223="Férias",G223="Atestado médico",G223="Consulta médica",G223="Folga de banco de horas",G223="Viagem a trabalho"),I223,IF(G223="Meio dia de férias",I223/2,0))</f>
        <v>0</v>
      </c>
      <c r="K223" s="23">
        <f>IF(OR(H223&gt;0,G223&lt;&gt;""),J223-I223,0)</f>
        <v>0</v>
      </c>
      <c r="L223" s="13"/>
      <c r="M223" s="20">
        <f>IF(A223="","",MONTH(A223))</f>
        <v>8</v>
      </c>
    </row>
    <row r="224" spans="1:13" x14ac:dyDescent="0.25">
      <c r="A224" s="18">
        <f>IF(YEAR(DATE('Configurações'!$B$5,1,1)+219)='Configurações'!$B$5,DATE('Configurações'!$B$5,1,1)+219,"")</f>
        <v>46607</v>
      </c>
      <c r="B224" s="19">
        <f>A224</f>
        <v>46607</v>
      </c>
      <c r="C224" s="20" t="str">
        <f>IF(A224="","",IF(COUNTIF('Feriados'!$A$5:$A$84,A224)&gt;0,"Feriado",IF(WEEKDAY(A224,2)&gt;5,"Fim de semana","Dia útil")))</f>
        <v>Fim de semana</v>
      </c>
      <c r="D224" s="21"/>
      <c r="E224" s="21"/>
      <c r="F224" s="14"/>
      <c r="G224" s="13"/>
      <c r="H224" s="22">
        <f>IF(AND(ISNUMBER(D224),ISNUMBER(E224)),ROUND(MOD(E224-D224,1)*24-N(F224)/60,2),0)</f>
        <v>0</v>
      </c>
      <c r="I224" s="22">
        <f>IF(C224="Dia útil",'Configurações'!$B$6,0)</f>
        <v>0</v>
      </c>
      <c r="J224" s="22">
        <f>H224+IF(OR(G224="Férias",G224="Atestado médico",G224="Consulta médica",G224="Folga de banco de horas",G224="Viagem a trabalho"),I224,IF(G224="Meio dia de férias",I224/2,0))</f>
        <v>0</v>
      </c>
      <c r="K224" s="23">
        <f>IF(OR(H224&gt;0,G224&lt;&gt;""),J224-I224,0)</f>
        <v>0</v>
      </c>
      <c r="L224" s="13"/>
      <c r="M224" s="20">
        <f>IF(A224="","",MONTH(A224))</f>
        <v>8</v>
      </c>
    </row>
    <row r="225" spans="1:13" x14ac:dyDescent="0.25">
      <c r="A225" s="18">
        <f>IF(YEAR(DATE('Configurações'!$B$5,1,1)+220)='Configurações'!$B$5,DATE('Configurações'!$B$5,1,1)+220,"")</f>
        <v>46608</v>
      </c>
      <c r="B225" s="19">
        <f>A225</f>
        <v>46608</v>
      </c>
      <c r="C225" s="20" t="str">
        <f>IF(A225="","",IF(COUNTIF('Feriados'!$A$5:$A$84,A225)&gt;0,"Feriado",IF(WEEKDAY(A225,2)&gt;5,"Fim de semana","Dia útil")))</f>
        <v>Dia útil</v>
      </c>
      <c r="D225" s="21"/>
      <c r="E225" s="21"/>
      <c r="F225" s="14"/>
      <c r="G225" s="13"/>
      <c r="H225" s="22">
        <f>IF(AND(ISNUMBER(D225),ISNUMBER(E225)),ROUND(MOD(E225-D225,1)*24-N(F225)/60,2),0)</f>
        <v>0</v>
      </c>
      <c r="I225" s="22">
        <f>IF(C225="Dia útil",'Configurações'!$B$6,0)</f>
        <v>8</v>
      </c>
      <c r="J225" s="22">
        <f>H225+IF(OR(G225="Férias",G225="Atestado médico",G225="Consulta médica",G225="Folga de banco de horas",G225="Viagem a trabalho"),I225,IF(G225="Meio dia de férias",I225/2,0))</f>
        <v>0</v>
      </c>
      <c r="K225" s="23">
        <f>IF(OR(H225&gt;0,G225&lt;&gt;""),J225-I225,0)</f>
        <v>0</v>
      </c>
      <c r="L225" s="13"/>
      <c r="M225" s="20">
        <f>IF(A225="","",MONTH(A225))</f>
        <v>8</v>
      </c>
    </row>
    <row r="226" spans="1:13" x14ac:dyDescent="0.25">
      <c r="A226" s="18">
        <f>IF(YEAR(DATE('Configurações'!$B$5,1,1)+221)='Configurações'!$B$5,DATE('Configurações'!$B$5,1,1)+221,"")</f>
        <v>46609</v>
      </c>
      <c r="B226" s="19">
        <f>A226</f>
        <v>46609</v>
      </c>
      <c r="C226" s="20" t="str">
        <f>IF(A226="","",IF(COUNTIF('Feriados'!$A$5:$A$84,A226)&gt;0,"Feriado",IF(WEEKDAY(A226,2)&gt;5,"Fim de semana","Dia útil")))</f>
        <v>Dia útil</v>
      </c>
      <c r="D226" s="21"/>
      <c r="E226" s="21"/>
      <c r="F226" s="14"/>
      <c r="G226" s="13"/>
      <c r="H226" s="22">
        <f>IF(AND(ISNUMBER(D226),ISNUMBER(E226)),ROUND(MOD(E226-D226,1)*24-N(F226)/60,2),0)</f>
        <v>0</v>
      </c>
      <c r="I226" s="22">
        <f>IF(C226="Dia útil",'Configurações'!$B$6,0)</f>
        <v>8</v>
      </c>
      <c r="J226" s="22">
        <f>H226+IF(OR(G226="Férias",G226="Atestado médico",G226="Consulta médica",G226="Folga de banco de horas",G226="Viagem a trabalho"),I226,IF(G226="Meio dia de férias",I226/2,0))</f>
        <v>0</v>
      </c>
      <c r="K226" s="23">
        <f>IF(OR(H226&gt;0,G226&lt;&gt;""),J226-I226,0)</f>
        <v>0</v>
      </c>
      <c r="L226" s="13"/>
      <c r="M226" s="20">
        <f>IF(A226="","",MONTH(A226))</f>
        <v>8</v>
      </c>
    </row>
    <row r="227" spans="1:13" x14ac:dyDescent="0.25">
      <c r="A227" s="18">
        <f>IF(YEAR(DATE('Configurações'!$B$5,1,1)+222)='Configurações'!$B$5,DATE('Configurações'!$B$5,1,1)+222,"")</f>
        <v>46610</v>
      </c>
      <c r="B227" s="19">
        <f>A227</f>
        <v>46610</v>
      </c>
      <c r="C227" s="20" t="str">
        <f>IF(A227="","",IF(COUNTIF('Feriados'!$A$5:$A$84,A227)&gt;0,"Feriado",IF(WEEKDAY(A227,2)&gt;5,"Fim de semana","Dia útil")))</f>
        <v>Dia útil</v>
      </c>
      <c r="D227" s="21"/>
      <c r="E227" s="21"/>
      <c r="F227" s="14"/>
      <c r="G227" s="13"/>
      <c r="H227" s="22">
        <f>IF(AND(ISNUMBER(D227),ISNUMBER(E227)),ROUND(MOD(E227-D227,1)*24-N(F227)/60,2),0)</f>
        <v>0</v>
      </c>
      <c r="I227" s="22">
        <f>IF(C227="Dia útil",'Configurações'!$B$6,0)</f>
        <v>8</v>
      </c>
      <c r="J227" s="22">
        <f>H227+IF(OR(G227="Férias",G227="Atestado médico",G227="Consulta médica",G227="Folga de banco de horas",G227="Viagem a trabalho"),I227,IF(G227="Meio dia de férias",I227/2,0))</f>
        <v>0</v>
      </c>
      <c r="K227" s="23">
        <f>IF(OR(H227&gt;0,G227&lt;&gt;""),J227-I227,0)</f>
        <v>0</v>
      </c>
      <c r="L227" s="13"/>
      <c r="M227" s="20">
        <f>IF(A227="","",MONTH(A227))</f>
        <v>8</v>
      </c>
    </row>
    <row r="228" spans="1:13" x14ac:dyDescent="0.25">
      <c r="A228" s="18">
        <f>IF(YEAR(DATE('Configurações'!$B$5,1,1)+223)='Configurações'!$B$5,DATE('Configurações'!$B$5,1,1)+223,"")</f>
        <v>46611</v>
      </c>
      <c r="B228" s="19">
        <f>A228</f>
        <v>46611</v>
      </c>
      <c r="C228" s="20" t="str">
        <f>IF(A228="","",IF(COUNTIF('Feriados'!$A$5:$A$84,A228)&gt;0,"Feriado",IF(WEEKDAY(A228,2)&gt;5,"Fim de semana","Dia útil")))</f>
        <v>Dia útil</v>
      </c>
      <c r="D228" s="21"/>
      <c r="E228" s="21"/>
      <c r="F228" s="14"/>
      <c r="G228" s="13"/>
      <c r="H228" s="22">
        <f>IF(AND(ISNUMBER(D228),ISNUMBER(E228)),ROUND(MOD(E228-D228,1)*24-N(F228)/60,2),0)</f>
        <v>0</v>
      </c>
      <c r="I228" s="22">
        <f>IF(C228="Dia útil",'Configurações'!$B$6,0)</f>
        <v>8</v>
      </c>
      <c r="J228" s="22">
        <f>H228+IF(OR(G228="Férias",G228="Atestado médico",G228="Consulta médica",G228="Folga de banco de horas",G228="Viagem a trabalho"),I228,IF(G228="Meio dia de férias",I228/2,0))</f>
        <v>0</v>
      </c>
      <c r="K228" s="23">
        <f>IF(OR(H228&gt;0,G228&lt;&gt;""),J228-I228,0)</f>
        <v>0</v>
      </c>
      <c r="L228" s="13"/>
      <c r="M228" s="20">
        <f>IF(A228="","",MONTH(A228))</f>
        <v>8</v>
      </c>
    </row>
    <row r="229" spans="1:13" x14ac:dyDescent="0.25">
      <c r="A229" s="18">
        <f>IF(YEAR(DATE('Configurações'!$B$5,1,1)+224)='Configurações'!$B$5,DATE('Configurações'!$B$5,1,1)+224,"")</f>
        <v>46612</v>
      </c>
      <c r="B229" s="19">
        <f>A229</f>
        <v>46612</v>
      </c>
      <c r="C229" s="20" t="str">
        <f>IF(A229="","",IF(COUNTIF('Feriados'!$A$5:$A$84,A229)&gt;0,"Feriado",IF(WEEKDAY(A229,2)&gt;5,"Fim de semana","Dia útil")))</f>
        <v>Dia útil</v>
      </c>
      <c r="D229" s="21"/>
      <c r="E229" s="21"/>
      <c r="F229" s="14"/>
      <c r="G229" s="13"/>
      <c r="H229" s="22">
        <f>IF(AND(ISNUMBER(D229),ISNUMBER(E229)),ROUND(MOD(E229-D229,1)*24-N(F229)/60,2),0)</f>
        <v>0</v>
      </c>
      <c r="I229" s="22">
        <f>IF(C229="Dia útil",'Configurações'!$B$6,0)</f>
        <v>8</v>
      </c>
      <c r="J229" s="22">
        <f>H229+IF(OR(G229="Férias",G229="Atestado médico",G229="Consulta médica",G229="Folga de banco de horas",G229="Viagem a trabalho"),I229,IF(G229="Meio dia de férias",I229/2,0))</f>
        <v>0</v>
      </c>
      <c r="K229" s="23">
        <f>IF(OR(H229&gt;0,G229&lt;&gt;""),J229-I229,0)</f>
        <v>0</v>
      </c>
      <c r="L229" s="13"/>
      <c r="M229" s="20">
        <f>IF(A229="","",MONTH(A229))</f>
        <v>8</v>
      </c>
    </row>
    <row r="230" spans="1:13" x14ac:dyDescent="0.25">
      <c r="A230" s="18">
        <f>IF(YEAR(DATE('Configurações'!$B$5,1,1)+225)='Configurações'!$B$5,DATE('Configurações'!$B$5,1,1)+225,"")</f>
        <v>46613</v>
      </c>
      <c r="B230" s="19">
        <f>A230</f>
        <v>46613</v>
      </c>
      <c r="C230" s="20" t="str">
        <f>IF(A230="","",IF(COUNTIF('Feriados'!$A$5:$A$84,A230)&gt;0,"Feriado",IF(WEEKDAY(A230,2)&gt;5,"Fim de semana","Dia útil")))</f>
        <v>Fim de semana</v>
      </c>
      <c r="D230" s="21"/>
      <c r="E230" s="21"/>
      <c r="F230" s="14"/>
      <c r="G230" s="13"/>
      <c r="H230" s="22">
        <f>IF(AND(ISNUMBER(D230),ISNUMBER(E230)),ROUND(MOD(E230-D230,1)*24-N(F230)/60,2),0)</f>
        <v>0</v>
      </c>
      <c r="I230" s="22">
        <f>IF(C230="Dia útil",'Configurações'!$B$6,0)</f>
        <v>0</v>
      </c>
      <c r="J230" s="22">
        <f>H230+IF(OR(G230="Férias",G230="Atestado médico",G230="Consulta médica",G230="Folga de banco de horas",G230="Viagem a trabalho"),I230,IF(G230="Meio dia de férias",I230/2,0))</f>
        <v>0</v>
      </c>
      <c r="K230" s="23">
        <f>IF(OR(H230&gt;0,G230&lt;&gt;""),J230-I230,0)</f>
        <v>0</v>
      </c>
      <c r="L230" s="13"/>
      <c r="M230" s="20">
        <f>IF(A230="","",MONTH(A230))</f>
        <v>8</v>
      </c>
    </row>
    <row r="231" spans="1:13" x14ac:dyDescent="0.25">
      <c r="A231" s="18">
        <f>IF(YEAR(DATE('Configurações'!$B$5,1,1)+226)='Configurações'!$B$5,DATE('Configurações'!$B$5,1,1)+226,"")</f>
        <v>46614</v>
      </c>
      <c r="B231" s="19">
        <f>A231</f>
        <v>46614</v>
      </c>
      <c r="C231" s="20" t="str">
        <f>IF(A231="","",IF(COUNTIF('Feriados'!$A$5:$A$84,A231)&gt;0,"Feriado",IF(WEEKDAY(A231,2)&gt;5,"Fim de semana","Dia útil")))</f>
        <v>Fim de semana</v>
      </c>
      <c r="D231" s="21"/>
      <c r="E231" s="21"/>
      <c r="F231" s="14"/>
      <c r="G231" s="13"/>
      <c r="H231" s="22">
        <f>IF(AND(ISNUMBER(D231),ISNUMBER(E231)),ROUND(MOD(E231-D231,1)*24-N(F231)/60,2),0)</f>
        <v>0</v>
      </c>
      <c r="I231" s="22">
        <f>IF(C231="Dia útil",'Configurações'!$B$6,0)</f>
        <v>0</v>
      </c>
      <c r="J231" s="22">
        <f>H231+IF(OR(G231="Férias",G231="Atestado médico",G231="Consulta médica",G231="Folga de banco de horas",G231="Viagem a trabalho"),I231,IF(G231="Meio dia de férias",I231/2,0))</f>
        <v>0</v>
      </c>
      <c r="K231" s="23">
        <f>IF(OR(H231&gt;0,G231&lt;&gt;""),J231-I231,0)</f>
        <v>0</v>
      </c>
      <c r="L231" s="13"/>
      <c r="M231" s="20">
        <f>IF(A231="","",MONTH(A231))</f>
        <v>8</v>
      </c>
    </row>
    <row r="232" spans="1:13" x14ac:dyDescent="0.25">
      <c r="A232" s="18">
        <f>IF(YEAR(DATE('Configurações'!$B$5,1,1)+227)='Configurações'!$B$5,DATE('Configurações'!$B$5,1,1)+227,"")</f>
        <v>46615</v>
      </c>
      <c r="B232" s="19">
        <f>A232</f>
        <v>46615</v>
      </c>
      <c r="C232" s="20" t="str">
        <f>IF(A232="","",IF(COUNTIF('Feriados'!$A$5:$A$84,A232)&gt;0,"Feriado",IF(WEEKDAY(A232,2)&gt;5,"Fim de semana","Dia útil")))</f>
        <v>Dia útil</v>
      </c>
      <c r="D232" s="21"/>
      <c r="E232" s="21"/>
      <c r="F232" s="14"/>
      <c r="G232" s="13"/>
      <c r="H232" s="22">
        <f>IF(AND(ISNUMBER(D232),ISNUMBER(E232)),ROUND(MOD(E232-D232,1)*24-N(F232)/60,2),0)</f>
        <v>0</v>
      </c>
      <c r="I232" s="22">
        <f>IF(C232="Dia útil",'Configurações'!$B$6,0)</f>
        <v>8</v>
      </c>
      <c r="J232" s="22">
        <f>H232+IF(OR(G232="Férias",G232="Atestado médico",G232="Consulta médica",G232="Folga de banco de horas",G232="Viagem a trabalho"),I232,IF(G232="Meio dia de férias",I232/2,0))</f>
        <v>0</v>
      </c>
      <c r="K232" s="23">
        <f>IF(OR(H232&gt;0,G232&lt;&gt;""),J232-I232,0)</f>
        <v>0</v>
      </c>
      <c r="L232" s="13"/>
      <c r="M232" s="20">
        <f>IF(A232="","",MONTH(A232))</f>
        <v>8</v>
      </c>
    </row>
    <row r="233" spans="1:13" x14ac:dyDescent="0.25">
      <c r="A233" s="18">
        <f>IF(YEAR(DATE('Configurações'!$B$5,1,1)+228)='Configurações'!$B$5,DATE('Configurações'!$B$5,1,1)+228,"")</f>
        <v>46616</v>
      </c>
      <c r="B233" s="19">
        <f>A233</f>
        <v>46616</v>
      </c>
      <c r="C233" s="20" t="str">
        <f>IF(A233="","",IF(COUNTIF('Feriados'!$A$5:$A$84,A233)&gt;0,"Feriado",IF(WEEKDAY(A233,2)&gt;5,"Fim de semana","Dia útil")))</f>
        <v>Dia útil</v>
      </c>
      <c r="D233" s="21"/>
      <c r="E233" s="21"/>
      <c r="F233" s="14"/>
      <c r="G233" s="13"/>
      <c r="H233" s="22">
        <f>IF(AND(ISNUMBER(D233),ISNUMBER(E233)),ROUND(MOD(E233-D233,1)*24-N(F233)/60,2),0)</f>
        <v>0</v>
      </c>
      <c r="I233" s="22">
        <f>IF(C233="Dia útil",'Configurações'!$B$6,0)</f>
        <v>8</v>
      </c>
      <c r="J233" s="22">
        <f>H233+IF(OR(G233="Férias",G233="Atestado médico",G233="Consulta médica",G233="Folga de banco de horas",G233="Viagem a trabalho"),I233,IF(G233="Meio dia de férias",I233/2,0))</f>
        <v>0</v>
      </c>
      <c r="K233" s="23">
        <f>IF(OR(H233&gt;0,G233&lt;&gt;""),J233-I233,0)</f>
        <v>0</v>
      </c>
      <c r="L233" s="13"/>
      <c r="M233" s="20">
        <f>IF(A233="","",MONTH(A233))</f>
        <v>8</v>
      </c>
    </row>
    <row r="234" spans="1:13" x14ac:dyDescent="0.25">
      <c r="A234" s="18">
        <f>IF(YEAR(DATE('Configurações'!$B$5,1,1)+229)='Configurações'!$B$5,DATE('Configurações'!$B$5,1,1)+229,"")</f>
        <v>46617</v>
      </c>
      <c r="B234" s="19">
        <f>A234</f>
        <v>46617</v>
      </c>
      <c r="C234" s="20" t="str">
        <f>IF(A234="","",IF(COUNTIF('Feriados'!$A$5:$A$84,A234)&gt;0,"Feriado",IF(WEEKDAY(A234,2)&gt;5,"Fim de semana","Dia útil")))</f>
        <v>Dia útil</v>
      </c>
      <c r="D234" s="21"/>
      <c r="E234" s="21"/>
      <c r="F234" s="14"/>
      <c r="G234" s="13"/>
      <c r="H234" s="22">
        <f>IF(AND(ISNUMBER(D234),ISNUMBER(E234)),ROUND(MOD(E234-D234,1)*24-N(F234)/60,2),0)</f>
        <v>0</v>
      </c>
      <c r="I234" s="22">
        <f>IF(C234="Dia útil",'Configurações'!$B$6,0)</f>
        <v>8</v>
      </c>
      <c r="J234" s="22">
        <f>H234+IF(OR(G234="Férias",G234="Atestado médico",G234="Consulta médica",G234="Folga de banco de horas",G234="Viagem a trabalho"),I234,IF(G234="Meio dia de férias",I234/2,0))</f>
        <v>0</v>
      </c>
      <c r="K234" s="23">
        <f>IF(OR(H234&gt;0,G234&lt;&gt;""),J234-I234,0)</f>
        <v>0</v>
      </c>
      <c r="L234" s="13"/>
      <c r="M234" s="20">
        <f>IF(A234="","",MONTH(A234))</f>
        <v>8</v>
      </c>
    </row>
    <row r="235" spans="1:13" x14ac:dyDescent="0.25">
      <c r="A235" s="18">
        <f>IF(YEAR(DATE('Configurações'!$B$5,1,1)+230)='Configurações'!$B$5,DATE('Configurações'!$B$5,1,1)+230,"")</f>
        <v>46618</v>
      </c>
      <c r="B235" s="19">
        <f>A235</f>
        <v>46618</v>
      </c>
      <c r="C235" s="20" t="str">
        <f>IF(A235="","",IF(COUNTIF('Feriados'!$A$5:$A$84,A235)&gt;0,"Feriado",IF(WEEKDAY(A235,2)&gt;5,"Fim de semana","Dia útil")))</f>
        <v>Dia útil</v>
      </c>
      <c r="D235" s="21"/>
      <c r="E235" s="21"/>
      <c r="F235" s="14"/>
      <c r="G235" s="13"/>
      <c r="H235" s="22">
        <f>IF(AND(ISNUMBER(D235),ISNUMBER(E235)),ROUND(MOD(E235-D235,1)*24-N(F235)/60,2),0)</f>
        <v>0</v>
      </c>
      <c r="I235" s="22">
        <f>IF(C235="Dia útil",'Configurações'!$B$6,0)</f>
        <v>8</v>
      </c>
      <c r="J235" s="22">
        <f>H235+IF(OR(G235="Férias",G235="Atestado médico",G235="Consulta médica",G235="Folga de banco de horas",G235="Viagem a trabalho"),I235,IF(G235="Meio dia de férias",I235/2,0))</f>
        <v>0</v>
      </c>
      <c r="K235" s="23">
        <f>IF(OR(H235&gt;0,G235&lt;&gt;""),J235-I235,0)</f>
        <v>0</v>
      </c>
      <c r="L235" s="13"/>
      <c r="M235" s="20">
        <f>IF(A235="","",MONTH(A235))</f>
        <v>8</v>
      </c>
    </row>
    <row r="236" spans="1:13" x14ac:dyDescent="0.25">
      <c r="A236" s="18">
        <f>IF(YEAR(DATE('Configurações'!$B$5,1,1)+231)='Configurações'!$B$5,DATE('Configurações'!$B$5,1,1)+231,"")</f>
        <v>46619</v>
      </c>
      <c r="B236" s="19">
        <f>A236</f>
        <v>46619</v>
      </c>
      <c r="C236" s="20" t="str">
        <f>IF(A236="","",IF(COUNTIF('Feriados'!$A$5:$A$84,A236)&gt;0,"Feriado",IF(WEEKDAY(A236,2)&gt;5,"Fim de semana","Dia útil")))</f>
        <v>Dia útil</v>
      </c>
      <c r="D236" s="21"/>
      <c r="E236" s="21"/>
      <c r="F236" s="14"/>
      <c r="G236" s="13"/>
      <c r="H236" s="22">
        <f>IF(AND(ISNUMBER(D236),ISNUMBER(E236)),ROUND(MOD(E236-D236,1)*24-N(F236)/60,2),0)</f>
        <v>0</v>
      </c>
      <c r="I236" s="22">
        <f>IF(C236="Dia útil",'Configurações'!$B$6,0)</f>
        <v>8</v>
      </c>
      <c r="J236" s="22">
        <f>H236+IF(OR(G236="Férias",G236="Atestado médico",G236="Consulta médica",G236="Folga de banco de horas",G236="Viagem a trabalho"),I236,IF(G236="Meio dia de férias",I236/2,0))</f>
        <v>0</v>
      </c>
      <c r="K236" s="23">
        <f>IF(OR(H236&gt;0,G236&lt;&gt;""),J236-I236,0)</f>
        <v>0</v>
      </c>
      <c r="L236" s="13"/>
      <c r="M236" s="20">
        <f>IF(A236="","",MONTH(A236))</f>
        <v>8</v>
      </c>
    </row>
    <row r="237" spans="1:13" x14ac:dyDescent="0.25">
      <c r="A237" s="18">
        <f>IF(YEAR(DATE('Configurações'!$B$5,1,1)+232)='Configurações'!$B$5,DATE('Configurações'!$B$5,1,1)+232,"")</f>
        <v>46620</v>
      </c>
      <c r="B237" s="19">
        <f>A237</f>
        <v>46620</v>
      </c>
      <c r="C237" s="20" t="str">
        <f>IF(A237="","",IF(COUNTIF('Feriados'!$A$5:$A$84,A237)&gt;0,"Feriado",IF(WEEKDAY(A237,2)&gt;5,"Fim de semana","Dia útil")))</f>
        <v>Fim de semana</v>
      </c>
      <c r="D237" s="21"/>
      <c r="E237" s="21"/>
      <c r="F237" s="14"/>
      <c r="G237" s="13"/>
      <c r="H237" s="22">
        <f>IF(AND(ISNUMBER(D237),ISNUMBER(E237)),ROUND(MOD(E237-D237,1)*24-N(F237)/60,2),0)</f>
        <v>0</v>
      </c>
      <c r="I237" s="22">
        <f>IF(C237="Dia útil",'Configurações'!$B$6,0)</f>
        <v>0</v>
      </c>
      <c r="J237" s="22">
        <f>H237+IF(OR(G237="Férias",G237="Atestado médico",G237="Consulta médica",G237="Folga de banco de horas",G237="Viagem a trabalho"),I237,IF(G237="Meio dia de férias",I237/2,0))</f>
        <v>0</v>
      </c>
      <c r="K237" s="23">
        <f>IF(OR(H237&gt;0,G237&lt;&gt;""),J237-I237,0)</f>
        <v>0</v>
      </c>
      <c r="L237" s="13"/>
      <c r="M237" s="20">
        <f>IF(A237="","",MONTH(A237))</f>
        <v>8</v>
      </c>
    </row>
    <row r="238" spans="1:13" x14ac:dyDescent="0.25">
      <c r="A238" s="18">
        <f>IF(YEAR(DATE('Configurações'!$B$5,1,1)+233)='Configurações'!$B$5,DATE('Configurações'!$B$5,1,1)+233,"")</f>
        <v>46621</v>
      </c>
      <c r="B238" s="19">
        <f>A238</f>
        <v>46621</v>
      </c>
      <c r="C238" s="20" t="str">
        <f>IF(A238="","",IF(COUNTIF('Feriados'!$A$5:$A$84,A238)&gt;0,"Feriado",IF(WEEKDAY(A238,2)&gt;5,"Fim de semana","Dia útil")))</f>
        <v>Fim de semana</v>
      </c>
      <c r="D238" s="21"/>
      <c r="E238" s="21"/>
      <c r="F238" s="14"/>
      <c r="G238" s="13"/>
      <c r="H238" s="22">
        <f>IF(AND(ISNUMBER(D238),ISNUMBER(E238)),ROUND(MOD(E238-D238,1)*24-N(F238)/60,2),0)</f>
        <v>0</v>
      </c>
      <c r="I238" s="22">
        <f>IF(C238="Dia útil",'Configurações'!$B$6,0)</f>
        <v>0</v>
      </c>
      <c r="J238" s="22">
        <f>H238+IF(OR(G238="Férias",G238="Atestado médico",G238="Consulta médica",G238="Folga de banco de horas",G238="Viagem a trabalho"),I238,IF(G238="Meio dia de férias",I238/2,0))</f>
        <v>0</v>
      </c>
      <c r="K238" s="23">
        <f>IF(OR(H238&gt;0,G238&lt;&gt;""),J238-I238,0)</f>
        <v>0</v>
      </c>
      <c r="L238" s="13"/>
      <c r="M238" s="20">
        <f>IF(A238="","",MONTH(A238))</f>
        <v>8</v>
      </c>
    </row>
    <row r="239" spans="1:13" x14ac:dyDescent="0.25">
      <c r="A239" s="18">
        <f>IF(YEAR(DATE('Configurações'!$B$5,1,1)+234)='Configurações'!$B$5,DATE('Configurações'!$B$5,1,1)+234,"")</f>
        <v>46622</v>
      </c>
      <c r="B239" s="19">
        <f>A239</f>
        <v>46622</v>
      </c>
      <c r="C239" s="20" t="str">
        <f>IF(A239="","",IF(COUNTIF('Feriados'!$A$5:$A$84,A239)&gt;0,"Feriado",IF(WEEKDAY(A239,2)&gt;5,"Fim de semana","Dia útil")))</f>
        <v>Dia útil</v>
      </c>
      <c r="D239" s="21"/>
      <c r="E239" s="21"/>
      <c r="F239" s="14"/>
      <c r="G239" s="13"/>
      <c r="H239" s="22">
        <f>IF(AND(ISNUMBER(D239),ISNUMBER(E239)),ROUND(MOD(E239-D239,1)*24-N(F239)/60,2),0)</f>
        <v>0</v>
      </c>
      <c r="I239" s="22">
        <f>IF(C239="Dia útil",'Configurações'!$B$6,0)</f>
        <v>8</v>
      </c>
      <c r="J239" s="22">
        <f>H239+IF(OR(G239="Férias",G239="Atestado médico",G239="Consulta médica",G239="Folga de banco de horas",G239="Viagem a trabalho"),I239,IF(G239="Meio dia de férias",I239/2,0))</f>
        <v>0</v>
      </c>
      <c r="K239" s="23">
        <f>IF(OR(H239&gt;0,G239&lt;&gt;""),J239-I239,0)</f>
        <v>0</v>
      </c>
      <c r="L239" s="13"/>
      <c r="M239" s="20">
        <f>IF(A239="","",MONTH(A239))</f>
        <v>8</v>
      </c>
    </row>
    <row r="240" spans="1:13" x14ac:dyDescent="0.25">
      <c r="A240" s="18">
        <f>IF(YEAR(DATE('Configurações'!$B$5,1,1)+235)='Configurações'!$B$5,DATE('Configurações'!$B$5,1,1)+235,"")</f>
        <v>46623</v>
      </c>
      <c r="B240" s="19">
        <f>A240</f>
        <v>46623</v>
      </c>
      <c r="C240" s="20" t="str">
        <f>IF(A240="","",IF(COUNTIF('Feriados'!$A$5:$A$84,A240)&gt;0,"Feriado",IF(WEEKDAY(A240,2)&gt;5,"Fim de semana","Dia útil")))</f>
        <v>Dia útil</v>
      </c>
      <c r="D240" s="21"/>
      <c r="E240" s="21"/>
      <c r="F240" s="14"/>
      <c r="G240" s="13"/>
      <c r="H240" s="22">
        <f>IF(AND(ISNUMBER(D240),ISNUMBER(E240)),ROUND(MOD(E240-D240,1)*24-N(F240)/60,2),0)</f>
        <v>0</v>
      </c>
      <c r="I240" s="22">
        <f>IF(C240="Dia útil",'Configurações'!$B$6,0)</f>
        <v>8</v>
      </c>
      <c r="J240" s="22">
        <f>H240+IF(OR(G240="Férias",G240="Atestado médico",G240="Consulta médica",G240="Folga de banco de horas",G240="Viagem a trabalho"),I240,IF(G240="Meio dia de férias",I240/2,0))</f>
        <v>0</v>
      </c>
      <c r="K240" s="23">
        <f>IF(OR(H240&gt;0,G240&lt;&gt;""),J240-I240,0)</f>
        <v>0</v>
      </c>
      <c r="L240" s="13"/>
      <c r="M240" s="20">
        <f>IF(A240="","",MONTH(A240))</f>
        <v>8</v>
      </c>
    </row>
    <row r="241" spans="1:13" x14ac:dyDescent="0.25">
      <c r="A241" s="18">
        <f>IF(YEAR(DATE('Configurações'!$B$5,1,1)+236)='Configurações'!$B$5,DATE('Configurações'!$B$5,1,1)+236,"")</f>
        <v>46624</v>
      </c>
      <c r="B241" s="19">
        <f>A241</f>
        <v>46624</v>
      </c>
      <c r="C241" s="20" t="str">
        <f>IF(A241="","",IF(COUNTIF('Feriados'!$A$5:$A$84,A241)&gt;0,"Feriado",IF(WEEKDAY(A241,2)&gt;5,"Fim de semana","Dia útil")))</f>
        <v>Dia útil</v>
      </c>
      <c r="D241" s="21"/>
      <c r="E241" s="21"/>
      <c r="F241" s="14"/>
      <c r="G241" s="13"/>
      <c r="H241" s="22">
        <f>IF(AND(ISNUMBER(D241),ISNUMBER(E241)),ROUND(MOD(E241-D241,1)*24-N(F241)/60,2),0)</f>
        <v>0</v>
      </c>
      <c r="I241" s="22">
        <f>IF(C241="Dia útil",'Configurações'!$B$6,0)</f>
        <v>8</v>
      </c>
      <c r="J241" s="22">
        <f>H241+IF(OR(G241="Férias",G241="Atestado médico",G241="Consulta médica",G241="Folga de banco de horas",G241="Viagem a trabalho"),I241,IF(G241="Meio dia de férias",I241/2,0))</f>
        <v>0</v>
      </c>
      <c r="K241" s="23">
        <f>IF(OR(H241&gt;0,G241&lt;&gt;""),J241-I241,0)</f>
        <v>0</v>
      </c>
      <c r="L241" s="13"/>
      <c r="M241" s="20">
        <f>IF(A241="","",MONTH(A241))</f>
        <v>8</v>
      </c>
    </row>
    <row r="242" spans="1:13" x14ac:dyDescent="0.25">
      <c r="A242" s="18">
        <f>IF(YEAR(DATE('Configurações'!$B$5,1,1)+237)='Configurações'!$B$5,DATE('Configurações'!$B$5,1,1)+237,"")</f>
        <v>46625</v>
      </c>
      <c r="B242" s="19">
        <f>A242</f>
        <v>46625</v>
      </c>
      <c r="C242" s="20" t="str">
        <f>IF(A242="","",IF(COUNTIF('Feriados'!$A$5:$A$84,A242)&gt;0,"Feriado",IF(WEEKDAY(A242,2)&gt;5,"Fim de semana","Dia útil")))</f>
        <v>Dia útil</v>
      </c>
      <c r="D242" s="21"/>
      <c r="E242" s="21"/>
      <c r="F242" s="14"/>
      <c r="G242" s="13"/>
      <c r="H242" s="22">
        <f>IF(AND(ISNUMBER(D242),ISNUMBER(E242)),ROUND(MOD(E242-D242,1)*24-N(F242)/60,2),0)</f>
        <v>0</v>
      </c>
      <c r="I242" s="22">
        <f>IF(C242="Dia útil",'Configurações'!$B$6,0)</f>
        <v>8</v>
      </c>
      <c r="J242" s="22">
        <f>H242+IF(OR(G242="Férias",G242="Atestado médico",G242="Consulta médica",G242="Folga de banco de horas",G242="Viagem a trabalho"),I242,IF(G242="Meio dia de férias",I242/2,0))</f>
        <v>0</v>
      </c>
      <c r="K242" s="23">
        <f>IF(OR(H242&gt;0,G242&lt;&gt;""),J242-I242,0)</f>
        <v>0</v>
      </c>
      <c r="L242" s="13"/>
      <c r="M242" s="20">
        <f>IF(A242="","",MONTH(A242))</f>
        <v>8</v>
      </c>
    </row>
    <row r="243" spans="1:13" x14ac:dyDescent="0.25">
      <c r="A243" s="18">
        <f>IF(YEAR(DATE('Configurações'!$B$5,1,1)+238)='Configurações'!$B$5,DATE('Configurações'!$B$5,1,1)+238,"")</f>
        <v>46626</v>
      </c>
      <c r="B243" s="19">
        <f>A243</f>
        <v>46626</v>
      </c>
      <c r="C243" s="20" t="str">
        <f>IF(A243="","",IF(COUNTIF('Feriados'!$A$5:$A$84,A243)&gt;0,"Feriado",IF(WEEKDAY(A243,2)&gt;5,"Fim de semana","Dia útil")))</f>
        <v>Dia útil</v>
      </c>
      <c r="D243" s="21"/>
      <c r="E243" s="21"/>
      <c r="F243" s="14"/>
      <c r="G243" s="13"/>
      <c r="H243" s="22">
        <f>IF(AND(ISNUMBER(D243),ISNUMBER(E243)),ROUND(MOD(E243-D243,1)*24-N(F243)/60,2),0)</f>
        <v>0</v>
      </c>
      <c r="I243" s="22">
        <f>IF(C243="Dia útil",'Configurações'!$B$6,0)</f>
        <v>8</v>
      </c>
      <c r="J243" s="22">
        <f>H243+IF(OR(G243="Férias",G243="Atestado médico",G243="Consulta médica",G243="Folga de banco de horas",G243="Viagem a trabalho"),I243,IF(G243="Meio dia de férias",I243/2,0))</f>
        <v>0</v>
      </c>
      <c r="K243" s="23">
        <f>IF(OR(H243&gt;0,G243&lt;&gt;""),J243-I243,0)</f>
        <v>0</v>
      </c>
      <c r="L243" s="13"/>
      <c r="M243" s="20">
        <f>IF(A243="","",MONTH(A243))</f>
        <v>8</v>
      </c>
    </row>
    <row r="244" spans="1:13" x14ac:dyDescent="0.25">
      <c r="A244" s="18">
        <f>IF(YEAR(DATE('Configurações'!$B$5,1,1)+239)='Configurações'!$B$5,DATE('Configurações'!$B$5,1,1)+239,"")</f>
        <v>46627</v>
      </c>
      <c r="B244" s="19">
        <f>A244</f>
        <v>46627</v>
      </c>
      <c r="C244" s="20" t="str">
        <f>IF(A244="","",IF(COUNTIF('Feriados'!$A$5:$A$84,A244)&gt;0,"Feriado",IF(WEEKDAY(A244,2)&gt;5,"Fim de semana","Dia útil")))</f>
        <v>Fim de semana</v>
      </c>
      <c r="D244" s="21"/>
      <c r="E244" s="21"/>
      <c r="F244" s="14"/>
      <c r="G244" s="13"/>
      <c r="H244" s="22">
        <f>IF(AND(ISNUMBER(D244),ISNUMBER(E244)),ROUND(MOD(E244-D244,1)*24-N(F244)/60,2),0)</f>
        <v>0</v>
      </c>
      <c r="I244" s="22">
        <f>IF(C244="Dia útil",'Configurações'!$B$6,0)</f>
        <v>0</v>
      </c>
      <c r="J244" s="22">
        <f>H244+IF(OR(G244="Férias",G244="Atestado médico",G244="Consulta médica",G244="Folga de banco de horas",G244="Viagem a trabalho"),I244,IF(G244="Meio dia de férias",I244/2,0))</f>
        <v>0</v>
      </c>
      <c r="K244" s="23">
        <f>IF(OR(H244&gt;0,G244&lt;&gt;""),J244-I244,0)</f>
        <v>0</v>
      </c>
      <c r="L244" s="13"/>
      <c r="M244" s="20">
        <f>IF(A244="","",MONTH(A244))</f>
        <v>8</v>
      </c>
    </row>
    <row r="245" spans="1:13" x14ac:dyDescent="0.25">
      <c r="A245" s="18">
        <f>IF(YEAR(DATE('Configurações'!$B$5,1,1)+240)='Configurações'!$B$5,DATE('Configurações'!$B$5,1,1)+240,"")</f>
        <v>46628</v>
      </c>
      <c r="B245" s="19">
        <f>A245</f>
        <v>46628</v>
      </c>
      <c r="C245" s="20" t="str">
        <f>IF(A245="","",IF(COUNTIF('Feriados'!$A$5:$A$84,A245)&gt;0,"Feriado",IF(WEEKDAY(A245,2)&gt;5,"Fim de semana","Dia útil")))</f>
        <v>Fim de semana</v>
      </c>
      <c r="D245" s="21"/>
      <c r="E245" s="21"/>
      <c r="F245" s="14"/>
      <c r="G245" s="13"/>
      <c r="H245" s="22">
        <f>IF(AND(ISNUMBER(D245),ISNUMBER(E245)),ROUND(MOD(E245-D245,1)*24-N(F245)/60,2),0)</f>
        <v>0</v>
      </c>
      <c r="I245" s="22">
        <f>IF(C245="Dia útil",'Configurações'!$B$6,0)</f>
        <v>0</v>
      </c>
      <c r="J245" s="22">
        <f>H245+IF(OR(G245="Férias",G245="Atestado médico",G245="Consulta médica",G245="Folga de banco de horas",G245="Viagem a trabalho"),I245,IF(G245="Meio dia de férias",I245/2,0))</f>
        <v>0</v>
      </c>
      <c r="K245" s="23">
        <f>IF(OR(H245&gt;0,G245&lt;&gt;""),J245-I245,0)</f>
        <v>0</v>
      </c>
      <c r="L245" s="13"/>
      <c r="M245" s="20">
        <f>IF(A245="","",MONTH(A245))</f>
        <v>8</v>
      </c>
    </row>
    <row r="246" spans="1:13" x14ac:dyDescent="0.25">
      <c r="A246" s="18">
        <f>IF(YEAR(DATE('Configurações'!$B$5,1,1)+241)='Configurações'!$B$5,DATE('Configurações'!$B$5,1,1)+241,"")</f>
        <v>46629</v>
      </c>
      <c r="B246" s="19">
        <f>A246</f>
        <v>46629</v>
      </c>
      <c r="C246" s="20" t="str">
        <f>IF(A246="","",IF(COUNTIF('Feriados'!$A$5:$A$84,A246)&gt;0,"Feriado",IF(WEEKDAY(A246,2)&gt;5,"Fim de semana","Dia útil")))</f>
        <v>Dia útil</v>
      </c>
      <c r="D246" s="21"/>
      <c r="E246" s="21"/>
      <c r="F246" s="14"/>
      <c r="G246" s="13"/>
      <c r="H246" s="22">
        <f>IF(AND(ISNUMBER(D246),ISNUMBER(E246)),ROUND(MOD(E246-D246,1)*24-N(F246)/60,2),0)</f>
        <v>0</v>
      </c>
      <c r="I246" s="22">
        <f>IF(C246="Dia útil",'Configurações'!$B$6,0)</f>
        <v>8</v>
      </c>
      <c r="J246" s="22">
        <f>H246+IF(OR(G246="Férias",G246="Atestado médico",G246="Consulta médica",G246="Folga de banco de horas",G246="Viagem a trabalho"),I246,IF(G246="Meio dia de férias",I246/2,0))</f>
        <v>0</v>
      </c>
      <c r="K246" s="23">
        <f>IF(OR(H246&gt;0,G246&lt;&gt;""),J246-I246,0)</f>
        <v>0</v>
      </c>
      <c r="L246" s="13"/>
      <c r="M246" s="20">
        <f>IF(A246="","",MONTH(A246))</f>
        <v>8</v>
      </c>
    </row>
    <row r="247" spans="1:13" x14ac:dyDescent="0.25">
      <c r="A247" s="18">
        <f>IF(YEAR(DATE('Configurações'!$B$5,1,1)+242)='Configurações'!$B$5,DATE('Configurações'!$B$5,1,1)+242,"")</f>
        <v>46630</v>
      </c>
      <c r="B247" s="19">
        <f>A247</f>
        <v>46630</v>
      </c>
      <c r="C247" s="20" t="str">
        <f>IF(A247="","",IF(COUNTIF('Feriados'!$A$5:$A$84,A247)&gt;0,"Feriado",IF(WEEKDAY(A247,2)&gt;5,"Fim de semana","Dia útil")))</f>
        <v>Dia útil</v>
      </c>
      <c r="D247" s="21"/>
      <c r="E247" s="21"/>
      <c r="F247" s="14"/>
      <c r="G247" s="13"/>
      <c r="H247" s="22">
        <f>IF(AND(ISNUMBER(D247),ISNUMBER(E247)),ROUND(MOD(E247-D247,1)*24-N(F247)/60,2),0)</f>
        <v>0</v>
      </c>
      <c r="I247" s="22">
        <f>IF(C247="Dia útil",'Configurações'!$B$6,0)</f>
        <v>8</v>
      </c>
      <c r="J247" s="22">
        <f>H247+IF(OR(G247="Férias",G247="Atestado médico",G247="Consulta médica",G247="Folga de banco de horas",G247="Viagem a trabalho"),I247,IF(G247="Meio dia de férias",I247/2,0))</f>
        <v>0</v>
      </c>
      <c r="K247" s="23">
        <f>IF(OR(H247&gt;0,G247&lt;&gt;""),J247-I247,0)</f>
        <v>0</v>
      </c>
      <c r="L247" s="13"/>
      <c r="M247" s="20">
        <f>IF(A247="","",MONTH(A247))</f>
        <v>8</v>
      </c>
    </row>
    <row r="248" spans="1:13" x14ac:dyDescent="0.25">
      <c r="A248" s="18">
        <f>IF(YEAR(DATE('Configurações'!$B$5,1,1)+243)='Configurações'!$B$5,DATE('Configurações'!$B$5,1,1)+243,"")</f>
        <v>46631</v>
      </c>
      <c r="B248" s="19">
        <f>A248</f>
        <v>46631</v>
      </c>
      <c r="C248" s="20" t="str">
        <f>IF(A248="","",IF(COUNTIF('Feriados'!$A$5:$A$84,A248)&gt;0,"Feriado",IF(WEEKDAY(A248,2)&gt;5,"Fim de semana","Dia útil")))</f>
        <v>Dia útil</v>
      </c>
      <c r="D248" s="21"/>
      <c r="E248" s="21"/>
      <c r="F248" s="14"/>
      <c r="G248" s="13"/>
      <c r="H248" s="22">
        <f>IF(AND(ISNUMBER(D248),ISNUMBER(E248)),ROUND(MOD(E248-D248,1)*24-N(F248)/60,2),0)</f>
        <v>0</v>
      </c>
      <c r="I248" s="22">
        <f>IF(C248="Dia útil",'Configurações'!$B$6,0)</f>
        <v>8</v>
      </c>
      <c r="J248" s="22">
        <f>H248+IF(OR(G248="Férias",G248="Atestado médico",G248="Consulta médica",G248="Folga de banco de horas",G248="Viagem a trabalho"),I248,IF(G248="Meio dia de férias",I248/2,0))</f>
        <v>0</v>
      </c>
      <c r="K248" s="23">
        <f>IF(OR(H248&gt;0,G248&lt;&gt;""),J248-I248,0)</f>
        <v>0</v>
      </c>
      <c r="L248" s="13"/>
      <c r="M248" s="20">
        <f>IF(A248="","",MONTH(A248))</f>
        <v>9</v>
      </c>
    </row>
    <row r="249" spans="1:13" x14ac:dyDescent="0.25">
      <c r="A249" s="18">
        <f>IF(YEAR(DATE('Configurações'!$B$5,1,1)+244)='Configurações'!$B$5,DATE('Configurações'!$B$5,1,1)+244,"")</f>
        <v>46632</v>
      </c>
      <c r="B249" s="19">
        <f>A249</f>
        <v>46632</v>
      </c>
      <c r="C249" s="20" t="str">
        <f>IF(A249="","",IF(COUNTIF('Feriados'!$A$5:$A$84,A249)&gt;0,"Feriado",IF(WEEKDAY(A249,2)&gt;5,"Fim de semana","Dia útil")))</f>
        <v>Dia útil</v>
      </c>
      <c r="D249" s="21"/>
      <c r="E249" s="21"/>
      <c r="F249" s="14"/>
      <c r="G249" s="13"/>
      <c r="H249" s="22">
        <f>IF(AND(ISNUMBER(D249),ISNUMBER(E249)),ROUND(MOD(E249-D249,1)*24-N(F249)/60,2),0)</f>
        <v>0</v>
      </c>
      <c r="I249" s="22">
        <f>IF(C249="Dia útil",'Configurações'!$B$6,0)</f>
        <v>8</v>
      </c>
      <c r="J249" s="22">
        <f>H249+IF(OR(G249="Férias",G249="Atestado médico",G249="Consulta médica",G249="Folga de banco de horas",G249="Viagem a trabalho"),I249,IF(G249="Meio dia de férias",I249/2,0))</f>
        <v>0</v>
      </c>
      <c r="K249" s="23">
        <f>IF(OR(H249&gt;0,G249&lt;&gt;""),J249-I249,0)</f>
        <v>0</v>
      </c>
      <c r="L249" s="13"/>
      <c r="M249" s="20">
        <f>IF(A249="","",MONTH(A249))</f>
        <v>9</v>
      </c>
    </row>
    <row r="250" spans="1:13" x14ac:dyDescent="0.25">
      <c r="A250" s="18">
        <f>IF(YEAR(DATE('Configurações'!$B$5,1,1)+245)='Configurações'!$B$5,DATE('Configurações'!$B$5,1,1)+245,"")</f>
        <v>46633</v>
      </c>
      <c r="B250" s="19">
        <f>A250</f>
        <v>46633</v>
      </c>
      <c r="C250" s="20" t="str">
        <f>IF(A250="","",IF(COUNTIF('Feriados'!$A$5:$A$84,A250)&gt;0,"Feriado",IF(WEEKDAY(A250,2)&gt;5,"Fim de semana","Dia útil")))</f>
        <v>Dia útil</v>
      </c>
      <c r="D250" s="21"/>
      <c r="E250" s="21"/>
      <c r="F250" s="14"/>
      <c r="G250" s="13"/>
      <c r="H250" s="22">
        <f>IF(AND(ISNUMBER(D250),ISNUMBER(E250)),ROUND(MOD(E250-D250,1)*24-N(F250)/60,2),0)</f>
        <v>0</v>
      </c>
      <c r="I250" s="22">
        <f>IF(C250="Dia útil",'Configurações'!$B$6,0)</f>
        <v>8</v>
      </c>
      <c r="J250" s="22">
        <f>H250+IF(OR(G250="Férias",G250="Atestado médico",G250="Consulta médica",G250="Folga de banco de horas",G250="Viagem a trabalho"),I250,IF(G250="Meio dia de férias",I250/2,0))</f>
        <v>0</v>
      </c>
      <c r="K250" s="23">
        <f>IF(OR(H250&gt;0,G250&lt;&gt;""),J250-I250,0)</f>
        <v>0</v>
      </c>
      <c r="L250" s="13"/>
      <c r="M250" s="20">
        <f>IF(A250="","",MONTH(A250))</f>
        <v>9</v>
      </c>
    </row>
    <row r="251" spans="1:13" x14ac:dyDescent="0.25">
      <c r="A251" s="18">
        <f>IF(YEAR(DATE('Configurações'!$B$5,1,1)+246)='Configurações'!$B$5,DATE('Configurações'!$B$5,1,1)+246,"")</f>
        <v>46634</v>
      </c>
      <c r="B251" s="19">
        <f>A251</f>
        <v>46634</v>
      </c>
      <c r="C251" s="20" t="str">
        <f>IF(A251="","",IF(COUNTIF('Feriados'!$A$5:$A$84,A251)&gt;0,"Feriado",IF(WEEKDAY(A251,2)&gt;5,"Fim de semana","Dia útil")))</f>
        <v>Fim de semana</v>
      </c>
      <c r="D251" s="21"/>
      <c r="E251" s="21"/>
      <c r="F251" s="14"/>
      <c r="G251" s="13"/>
      <c r="H251" s="22">
        <f>IF(AND(ISNUMBER(D251),ISNUMBER(E251)),ROUND(MOD(E251-D251,1)*24-N(F251)/60,2),0)</f>
        <v>0</v>
      </c>
      <c r="I251" s="22">
        <f>IF(C251="Dia útil",'Configurações'!$B$6,0)</f>
        <v>0</v>
      </c>
      <c r="J251" s="22">
        <f>H251+IF(OR(G251="Férias",G251="Atestado médico",G251="Consulta médica",G251="Folga de banco de horas",G251="Viagem a trabalho"),I251,IF(G251="Meio dia de férias",I251/2,0))</f>
        <v>0</v>
      </c>
      <c r="K251" s="23">
        <f>IF(OR(H251&gt;0,G251&lt;&gt;""),J251-I251,0)</f>
        <v>0</v>
      </c>
      <c r="L251" s="13"/>
      <c r="M251" s="20">
        <f>IF(A251="","",MONTH(A251))</f>
        <v>9</v>
      </c>
    </row>
    <row r="252" spans="1:13" x14ac:dyDescent="0.25">
      <c r="A252" s="18">
        <f>IF(YEAR(DATE('Configurações'!$B$5,1,1)+247)='Configurações'!$B$5,DATE('Configurações'!$B$5,1,1)+247,"")</f>
        <v>46635</v>
      </c>
      <c r="B252" s="19">
        <f>A252</f>
        <v>46635</v>
      </c>
      <c r="C252" s="20" t="str">
        <f>IF(A252="","",IF(COUNTIF('Feriados'!$A$5:$A$84,A252)&gt;0,"Feriado",IF(WEEKDAY(A252,2)&gt;5,"Fim de semana","Dia útil")))</f>
        <v>Fim de semana</v>
      </c>
      <c r="D252" s="21"/>
      <c r="E252" s="21"/>
      <c r="F252" s="14"/>
      <c r="G252" s="13"/>
      <c r="H252" s="22">
        <f>IF(AND(ISNUMBER(D252),ISNUMBER(E252)),ROUND(MOD(E252-D252,1)*24-N(F252)/60,2),0)</f>
        <v>0</v>
      </c>
      <c r="I252" s="22">
        <f>IF(C252="Dia útil",'Configurações'!$B$6,0)</f>
        <v>0</v>
      </c>
      <c r="J252" s="22">
        <f>H252+IF(OR(G252="Férias",G252="Atestado médico",G252="Consulta médica",G252="Folga de banco de horas",G252="Viagem a trabalho"),I252,IF(G252="Meio dia de férias",I252/2,0))</f>
        <v>0</v>
      </c>
      <c r="K252" s="23">
        <f>IF(OR(H252&gt;0,G252&lt;&gt;""),J252-I252,0)</f>
        <v>0</v>
      </c>
      <c r="L252" s="13"/>
      <c r="M252" s="20">
        <f>IF(A252="","",MONTH(A252))</f>
        <v>9</v>
      </c>
    </row>
    <row r="253" spans="1:13" x14ac:dyDescent="0.25">
      <c r="A253" s="18">
        <f>IF(YEAR(DATE('Configurações'!$B$5,1,1)+248)='Configurações'!$B$5,DATE('Configurações'!$B$5,1,1)+248,"")</f>
        <v>46636</v>
      </c>
      <c r="B253" s="19">
        <f>A253</f>
        <v>46636</v>
      </c>
      <c r="C253" s="20" t="str">
        <f>IF(A253="","",IF(COUNTIF('Feriados'!$A$5:$A$84,A253)&gt;0,"Feriado",IF(WEEKDAY(A253,2)&gt;5,"Fim de semana","Dia útil")))</f>
        <v>Dia útil</v>
      </c>
      <c r="D253" s="21"/>
      <c r="E253" s="21"/>
      <c r="F253" s="14"/>
      <c r="G253" s="13"/>
      <c r="H253" s="22">
        <f>IF(AND(ISNUMBER(D253),ISNUMBER(E253)),ROUND(MOD(E253-D253,1)*24-N(F253)/60,2),0)</f>
        <v>0</v>
      </c>
      <c r="I253" s="22">
        <f>IF(C253="Dia útil",'Configurações'!$B$6,0)</f>
        <v>8</v>
      </c>
      <c r="J253" s="22">
        <f>H253+IF(OR(G253="Férias",G253="Atestado médico",G253="Consulta médica",G253="Folga de banco de horas",G253="Viagem a trabalho"),I253,IF(G253="Meio dia de férias",I253/2,0))</f>
        <v>0</v>
      </c>
      <c r="K253" s="23">
        <f>IF(OR(H253&gt;0,G253&lt;&gt;""),J253-I253,0)</f>
        <v>0</v>
      </c>
      <c r="L253" s="13"/>
      <c r="M253" s="20">
        <f>IF(A253="","",MONTH(A253))</f>
        <v>9</v>
      </c>
    </row>
    <row r="254" spans="1:13" x14ac:dyDescent="0.25">
      <c r="A254" s="18">
        <f>IF(YEAR(DATE('Configurações'!$B$5,1,1)+249)='Configurações'!$B$5,DATE('Configurações'!$B$5,1,1)+249,"")</f>
        <v>46637</v>
      </c>
      <c r="B254" s="19">
        <f>A254</f>
        <v>46637</v>
      </c>
      <c r="C254" s="20" t="str">
        <f>IF(A254="","",IF(COUNTIF('Feriados'!$A$5:$A$84,A254)&gt;0,"Feriado",IF(WEEKDAY(A254,2)&gt;5,"Fim de semana","Dia útil")))</f>
        <v>Feriado</v>
      </c>
      <c r="D254" s="21"/>
      <c r="E254" s="21"/>
      <c r="F254" s="14"/>
      <c r="G254" s="13"/>
      <c r="H254" s="22">
        <f>IF(AND(ISNUMBER(D254),ISNUMBER(E254)),ROUND(MOD(E254-D254,1)*24-N(F254)/60,2),0)</f>
        <v>0</v>
      </c>
      <c r="I254" s="22">
        <f>IF(C254="Dia útil",'Configurações'!$B$6,0)</f>
        <v>0</v>
      </c>
      <c r="J254" s="22">
        <f>H254+IF(OR(G254="Férias",G254="Atestado médico",G254="Consulta médica",G254="Folga de banco de horas",G254="Viagem a trabalho"),I254,IF(G254="Meio dia de férias",I254/2,0))</f>
        <v>0</v>
      </c>
      <c r="K254" s="23">
        <f>IF(OR(H254&gt;0,G254&lt;&gt;""),J254-I254,0)</f>
        <v>0</v>
      </c>
      <c r="L254" s="13"/>
      <c r="M254" s="20">
        <f>IF(A254="","",MONTH(A254))</f>
        <v>9</v>
      </c>
    </row>
    <row r="255" spans="1:13" x14ac:dyDescent="0.25">
      <c r="A255" s="18">
        <f>IF(YEAR(DATE('Configurações'!$B$5,1,1)+250)='Configurações'!$B$5,DATE('Configurações'!$B$5,1,1)+250,"")</f>
        <v>46638</v>
      </c>
      <c r="B255" s="19">
        <f>A255</f>
        <v>46638</v>
      </c>
      <c r="C255" s="20" t="str">
        <f>IF(A255="","",IF(COUNTIF('Feriados'!$A$5:$A$84,A255)&gt;0,"Feriado",IF(WEEKDAY(A255,2)&gt;5,"Fim de semana","Dia útil")))</f>
        <v>Dia útil</v>
      </c>
      <c r="D255" s="21"/>
      <c r="E255" s="21"/>
      <c r="F255" s="14"/>
      <c r="G255" s="13"/>
      <c r="H255" s="22">
        <f>IF(AND(ISNUMBER(D255),ISNUMBER(E255)),ROUND(MOD(E255-D255,1)*24-N(F255)/60,2),0)</f>
        <v>0</v>
      </c>
      <c r="I255" s="22">
        <f>IF(C255="Dia útil",'Configurações'!$B$6,0)</f>
        <v>8</v>
      </c>
      <c r="J255" s="22">
        <f>H255+IF(OR(G255="Férias",G255="Atestado médico",G255="Consulta médica",G255="Folga de banco de horas",G255="Viagem a trabalho"),I255,IF(G255="Meio dia de férias",I255/2,0))</f>
        <v>0</v>
      </c>
      <c r="K255" s="23">
        <f>IF(OR(H255&gt;0,G255&lt;&gt;""),J255-I255,0)</f>
        <v>0</v>
      </c>
      <c r="L255" s="13"/>
      <c r="M255" s="20">
        <f>IF(A255="","",MONTH(A255))</f>
        <v>9</v>
      </c>
    </row>
    <row r="256" spans="1:13" x14ac:dyDescent="0.25">
      <c r="A256" s="18">
        <f>IF(YEAR(DATE('Configurações'!$B$5,1,1)+251)='Configurações'!$B$5,DATE('Configurações'!$B$5,1,1)+251,"")</f>
        <v>46639</v>
      </c>
      <c r="B256" s="19">
        <f>A256</f>
        <v>46639</v>
      </c>
      <c r="C256" s="20" t="str">
        <f>IF(A256="","",IF(COUNTIF('Feriados'!$A$5:$A$84,A256)&gt;0,"Feriado",IF(WEEKDAY(A256,2)&gt;5,"Fim de semana","Dia útil")))</f>
        <v>Dia útil</v>
      </c>
      <c r="D256" s="21"/>
      <c r="E256" s="21"/>
      <c r="F256" s="14"/>
      <c r="G256" s="13"/>
      <c r="H256" s="22">
        <f>IF(AND(ISNUMBER(D256),ISNUMBER(E256)),ROUND(MOD(E256-D256,1)*24-N(F256)/60,2),0)</f>
        <v>0</v>
      </c>
      <c r="I256" s="22">
        <f>IF(C256="Dia útil",'Configurações'!$B$6,0)</f>
        <v>8</v>
      </c>
      <c r="J256" s="22">
        <f>H256+IF(OR(G256="Férias",G256="Atestado médico",G256="Consulta médica",G256="Folga de banco de horas",G256="Viagem a trabalho"),I256,IF(G256="Meio dia de férias",I256/2,0))</f>
        <v>0</v>
      </c>
      <c r="K256" s="23">
        <f>IF(OR(H256&gt;0,G256&lt;&gt;""),J256-I256,0)</f>
        <v>0</v>
      </c>
      <c r="L256" s="13"/>
      <c r="M256" s="20">
        <f>IF(A256="","",MONTH(A256))</f>
        <v>9</v>
      </c>
    </row>
    <row r="257" spans="1:13" x14ac:dyDescent="0.25">
      <c r="A257" s="18">
        <f>IF(YEAR(DATE('Configurações'!$B$5,1,1)+252)='Configurações'!$B$5,DATE('Configurações'!$B$5,1,1)+252,"")</f>
        <v>46640</v>
      </c>
      <c r="B257" s="19">
        <f>A257</f>
        <v>46640</v>
      </c>
      <c r="C257" s="20" t="str">
        <f>IF(A257="","",IF(COUNTIF('Feriados'!$A$5:$A$84,A257)&gt;0,"Feriado",IF(WEEKDAY(A257,2)&gt;5,"Fim de semana","Dia útil")))</f>
        <v>Dia útil</v>
      </c>
      <c r="D257" s="21"/>
      <c r="E257" s="21"/>
      <c r="F257" s="14"/>
      <c r="G257" s="13"/>
      <c r="H257" s="22">
        <f>IF(AND(ISNUMBER(D257),ISNUMBER(E257)),ROUND(MOD(E257-D257,1)*24-N(F257)/60,2),0)</f>
        <v>0</v>
      </c>
      <c r="I257" s="22">
        <f>IF(C257="Dia útil",'Configurações'!$B$6,0)</f>
        <v>8</v>
      </c>
      <c r="J257" s="22">
        <f>H257+IF(OR(G257="Férias",G257="Atestado médico",G257="Consulta médica",G257="Folga de banco de horas",G257="Viagem a trabalho"),I257,IF(G257="Meio dia de férias",I257/2,0))</f>
        <v>0</v>
      </c>
      <c r="K257" s="23">
        <f>IF(OR(H257&gt;0,G257&lt;&gt;""),J257-I257,0)</f>
        <v>0</v>
      </c>
      <c r="L257" s="13"/>
      <c r="M257" s="20">
        <f>IF(A257="","",MONTH(A257))</f>
        <v>9</v>
      </c>
    </row>
    <row r="258" spans="1:13" x14ac:dyDescent="0.25">
      <c r="A258" s="18">
        <f>IF(YEAR(DATE('Configurações'!$B$5,1,1)+253)='Configurações'!$B$5,DATE('Configurações'!$B$5,1,1)+253,"")</f>
        <v>46641</v>
      </c>
      <c r="B258" s="19">
        <f>A258</f>
        <v>46641</v>
      </c>
      <c r="C258" s="20" t="str">
        <f>IF(A258="","",IF(COUNTIF('Feriados'!$A$5:$A$84,A258)&gt;0,"Feriado",IF(WEEKDAY(A258,2)&gt;5,"Fim de semana","Dia útil")))</f>
        <v>Fim de semana</v>
      </c>
      <c r="D258" s="21"/>
      <c r="E258" s="21"/>
      <c r="F258" s="14"/>
      <c r="G258" s="13"/>
      <c r="H258" s="22">
        <f>IF(AND(ISNUMBER(D258),ISNUMBER(E258)),ROUND(MOD(E258-D258,1)*24-N(F258)/60,2),0)</f>
        <v>0</v>
      </c>
      <c r="I258" s="22">
        <f>IF(C258="Dia útil",'Configurações'!$B$6,0)</f>
        <v>0</v>
      </c>
      <c r="J258" s="22">
        <f>H258+IF(OR(G258="Férias",G258="Atestado médico",G258="Consulta médica",G258="Folga de banco de horas",G258="Viagem a trabalho"),I258,IF(G258="Meio dia de férias",I258/2,0))</f>
        <v>0</v>
      </c>
      <c r="K258" s="23">
        <f>IF(OR(H258&gt;0,G258&lt;&gt;""),J258-I258,0)</f>
        <v>0</v>
      </c>
      <c r="L258" s="13"/>
      <c r="M258" s="20">
        <f>IF(A258="","",MONTH(A258))</f>
        <v>9</v>
      </c>
    </row>
    <row r="259" spans="1:13" x14ac:dyDescent="0.25">
      <c r="A259" s="18">
        <f>IF(YEAR(DATE('Configurações'!$B$5,1,1)+254)='Configurações'!$B$5,DATE('Configurações'!$B$5,1,1)+254,"")</f>
        <v>46642</v>
      </c>
      <c r="B259" s="19">
        <f>A259</f>
        <v>46642</v>
      </c>
      <c r="C259" s="20" t="str">
        <f>IF(A259="","",IF(COUNTIF('Feriados'!$A$5:$A$84,A259)&gt;0,"Feriado",IF(WEEKDAY(A259,2)&gt;5,"Fim de semana","Dia útil")))</f>
        <v>Fim de semana</v>
      </c>
      <c r="D259" s="21"/>
      <c r="E259" s="21"/>
      <c r="F259" s="14"/>
      <c r="G259" s="13"/>
      <c r="H259" s="22">
        <f>IF(AND(ISNUMBER(D259),ISNUMBER(E259)),ROUND(MOD(E259-D259,1)*24-N(F259)/60,2),0)</f>
        <v>0</v>
      </c>
      <c r="I259" s="22">
        <f>IF(C259="Dia útil",'Configurações'!$B$6,0)</f>
        <v>0</v>
      </c>
      <c r="J259" s="22">
        <f>H259+IF(OR(G259="Férias",G259="Atestado médico",G259="Consulta médica",G259="Folga de banco de horas",G259="Viagem a trabalho"),I259,IF(G259="Meio dia de férias",I259/2,0))</f>
        <v>0</v>
      </c>
      <c r="K259" s="23">
        <f>IF(OR(H259&gt;0,G259&lt;&gt;""),J259-I259,0)</f>
        <v>0</v>
      </c>
      <c r="L259" s="13"/>
      <c r="M259" s="20">
        <f>IF(A259="","",MONTH(A259))</f>
        <v>9</v>
      </c>
    </row>
    <row r="260" spans="1:13" x14ac:dyDescent="0.25">
      <c r="A260" s="18">
        <f>IF(YEAR(DATE('Configurações'!$B$5,1,1)+255)='Configurações'!$B$5,DATE('Configurações'!$B$5,1,1)+255,"")</f>
        <v>46643</v>
      </c>
      <c r="B260" s="19">
        <f>A260</f>
        <v>46643</v>
      </c>
      <c r="C260" s="20" t="str">
        <f>IF(A260="","",IF(COUNTIF('Feriados'!$A$5:$A$84,A260)&gt;0,"Feriado",IF(WEEKDAY(A260,2)&gt;5,"Fim de semana","Dia útil")))</f>
        <v>Dia útil</v>
      </c>
      <c r="D260" s="21"/>
      <c r="E260" s="21"/>
      <c r="F260" s="14"/>
      <c r="G260" s="13"/>
      <c r="H260" s="22">
        <f>IF(AND(ISNUMBER(D260),ISNUMBER(E260)),ROUND(MOD(E260-D260,1)*24-N(F260)/60,2),0)</f>
        <v>0</v>
      </c>
      <c r="I260" s="22">
        <f>IF(C260="Dia útil",'Configurações'!$B$6,0)</f>
        <v>8</v>
      </c>
      <c r="J260" s="22">
        <f>H260+IF(OR(G260="Férias",G260="Atestado médico",G260="Consulta médica",G260="Folga de banco de horas",G260="Viagem a trabalho"),I260,IF(G260="Meio dia de férias",I260/2,0))</f>
        <v>0</v>
      </c>
      <c r="K260" s="23">
        <f>IF(OR(H260&gt;0,G260&lt;&gt;""),J260-I260,0)</f>
        <v>0</v>
      </c>
      <c r="L260" s="13"/>
      <c r="M260" s="20">
        <f>IF(A260="","",MONTH(A260))</f>
        <v>9</v>
      </c>
    </row>
    <row r="261" spans="1:13" x14ac:dyDescent="0.25">
      <c r="A261" s="18">
        <f>IF(YEAR(DATE('Configurações'!$B$5,1,1)+256)='Configurações'!$B$5,DATE('Configurações'!$B$5,1,1)+256,"")</f>
        <v>46644</v>
      </c>
      <c r="B261" s="19">
        <f>A261</f>
        <v>46644</v>
      </c>
      <c r="C261" s="20" t="str">
        <f>IF(A261="","",IF(COUNTIF('Feriados'!$A$5:$A$84,A261)&gt;0,"Feriado",IF(WEEKDAY(A261,2)&gt;5,"Fim de semana","Dia útil")))</f>
        <v>Dia útil</v>
      </c>
      <c r="D261" s="21"/>
      <c r="E261" s="21"/>
      <c r="F261" s="14"/>
      <c r="G261" s="13"/>
      <c r="H261" s="22">
        <f>IF(AND(ISNUMBER(D261),ISNUMBER(E261)),ROUND(MOD(E261-D261,1)*24-N(F261)/60,2),0)</f>
        <v>0</v>
      </c>
      <c r="I261" s="22">
        <f>IF(C261="Dia útil",'Configurações'!$B$6,0)</f>
        <v>8</v>
      </c>
      <c r="J261" s="22">
        <f>H261+IF(OR(G261="Férias",G261="Atestado médico",G261="Consulta médica",G261="Folga de banco de horas",G261="Viagem a trabalho"),I261,IF(G261="Meio dia de férias",I261/2,0))</f>
        <v>0</v>
      </c>
      <c r="K261" s="23">
        <f>IF(OR(H261&gt;0,G261&lt;&gt;""),J261-I261,0)</f>
        <v>0</v>
      </c>
      <c r="L261" s="13"/>
      <c r="M261" s="20">
        <f>IF(A261="","",MONTH(A261))</f>
        <v>9</v>
      </c>
    </row>
    <row r="262" spans="1:13" x14ac:dyDescent="0.25">
      <c r="A262" s="18">
        <f>IF(YEAR(DATE('Configurações'!$B$5,1,1)+257)='Configurações'!$B$5,DATE('Configurações'!$B$5,1,1)+257,"")</f>
        <v>46645</v>
      </c>
      <c r="B262" s="19">
        <f>A262</f>
        <v>46645</v>
      </c>
      <c r="C262" s="20" t="str">
        <f>IF(A262="","",IF(COUNTIF('Feriados'!$A$5:$A$84,A262)&gt;0,"Feriado",IF(WEEKDAY(A262,2)&gt;5,"Fim de semana","Dia útil")))</f>
        <v>Dia útil</v>
      </c>
      <c r="D262" s="21"/>
      <c r="E262" s="21"/>
      <c r="F262" s="14"/>
      <c r="G262" s="13"/>
      <c r="H262" s="22">
        <f>IF(AND(ISNUMBER(D262),ISNUMBER(E262)),ROUND(MOD(E262-D262,1)*24-N(F262)/60,2),0)</f>
        <v>0</v>
      </c>
      <c r="I262" s="22">
        <f>IF(C262="Dia útil",'Configurações'!$B$6,0)</f>
        <v>8</v>
      </c>
      <c r="J262" s="22">
        <f>H262+IF(OR(G262="Férias",G262="Atestado médico",G262="Consulta médica",G262="Folga de banco de horas",G262="Viagem a trabalho"),I262,IF(G262="Meio dia de férias",I262/2,0))</f>
        <v>0</v>
      </c>
      <c r="K262" s="23">
        <f>IF(OR(H262&gt;0,G262&lt;&gt;""),J262-I262,0)</f>
        <v>0</v>
      </c>
      <c r="L262" s="13"/>
      <c r="M262" s="20">
        <f>IF(A262="","",MONTH(A262))</f>
        <v>9</v>
      </c>
    </row>
    <row r="263" spans="1:13" x14ac:dyDescent="0.25">
      <c r="A263" s="18">
        <f>IF(YEAR(DATE('Configurações'!$B$5,1,1)+258)='Configurações'!$B$5,DATE('Configurações'!$B$5,1,1)+258,"")</f>
        <v>46646</v>
      </c>
      <c r="B263" s="19">
        <f>A263</f>
        <v>46646</v>
      </c>
      <c r="C263" s="20" t="str">
        <f>IF(A263="","",IF(COUNTIF('Feriados'!$A$5:$A$84,A263)&gt;0,"Feriado",IF(WEEKDAY(A263,2)&gt;5,"Fim de semana","Dia útil")))</f>
        <v>Dia útil</v>
      </c>
      <c r="D263" s="21"/>
      <c r="E263" s="21"/>
      <c r="F263" s="14"/>
      <c r="G263" s="13"/>
      <c r="H263" s="22">
        <f>IF(AND(ISNUMBER(D263),ISNUMBER(E263)),ROUND(MOD(E263-D263,1)*24-N(F263)/60,2),0)</f>
        <v>0</v>
      </c>
      <c r="I263" s="22">
        <f>IF(C263="Dia útil",'Configurações'!$B$6,0)</f>
        <v>8</v>
      </c>
      <c r="J263" s="22">
        <f>H263+IF(OR(G263="Férias",G263="Atestado médico",G263="Consulta médica",G263="Folga de banco de horas",G263="Viagem a trabalho"),I263,IF(G263="Meio dia de férias",I263/2,0))</f>
        <v>0</v>
      </c>
      <c r="K263" s="23">
        <f>IF(OR(H263&gt;0,G263&lt;&gt;""),J263-I263,0)</f>
        <v>0</v>
      </c>
      <c r="L263" s="13"/>
      <c r="M263" s="20">
        <f>IF(A263="","",MONTH(A263))</f>
        <v>9</v>
      </c>
    </row>
    <row r="264" spans="1:13" x14ac:dyDescent="0.25">
      <c r="A264" s="18">
        <f>IF(YEAR(DATE('Configurações'!$B$5,1,1)+259)='Configurações'!$B$5,DATE('Configurações'!$B$5,1,1)+259,"")</f>
        <v>46647</v>
      </c>
      <c r="B264" s="19">
        <f>A264</f>
        <v>46647</v>
      </c>
      <c r="C264" s="20" t="str">
        <f>IF(A264="","",IF(COUNTIF('Feriados'!$A$5:$A$84,A264)&gt;0,"Feriado",IF(WEEKDAY(A264,2)&gt;5,"Fim de semana","Dia útil")))</f>
        <v>Dia útil</v>
      </c>
      <c r="D264" s="21"/>
      <c r="E264" s="21"/>
      <c r="F264" s="14"/>
      <c r="G264" s="13"/>
      <c r="H264" s="22">
        <f>IF(AND(ISNUMBER(D264),ISNUMBER(E264)),ROUND(MOD(E264-D264,1)*24-N(F264)/60,2),0)</f>
        <v>0</v>
      </c>
      <c r="I264" s="22">
        <f>IF(C264="Dia útil",'Configurações'!$B$6,0)</f>
        <v>8</v>
      </c>
      <c r="J264" s="22">
        <f>H264+IF(OR(G264="Férias",G264="Atestado médico",G264="Consulta médica",G264="Folga de banco de horas",G264="Viagem a trabalho"),I264,IF(G264="Meio dia de férias",I264/2,0))</f>
        <v>0</v>
      </c>
      <c r="K264" s="23">
        <f>IF(OR(H264&gt;0,G264&lt;&gt;""),J264-I264,0)</f>
        <v>0</v>
      </c>
      <c r="L264" s="13"/>
      <c r="M264" s="20">
        <f>IF(A264="","",MONTH(A264))</f>
        <v>9</v>
      </c>
    </row>
    <row r="265" spans="1:13" x14ac:dyDescent="0.25">
      <c r="A265" s="18">
        <f>IF(YEAR(DATE('Configurações'!$B$5,1,1)+260)='Configurações'!$B$5,DATE('Configurações'!$B$5,1,1)+260,"")</f>
        <v>46648</v>
      </c>
      <c r="B265" s="19">
        <f>A265</f>
        <v>46648</v>
      </c>
      <c r="C265" s="20" t="str">
        <f>IF(A265="","",IF(COUNTIF('Feriados'!$A$5:$A$84,A265)&gt;0,"Feriado",IF(WEEKDAY(A265,2)&gt;5,"Fim de semana","Dia útil")))</f>
        <v>Fim de semana</v>
      </c>
      <c r="D265" s="21"/>
      <c r="E265" s="21"/>
      <c r="F265" s="14"/>
      <c r="G265" s="13"/>
      <c r="H265" s="22">
        <f>IF(AND(ISNUMBER(D265),ISNUMBER(E265)),ROUND(MOD(E265-D265,1)*24-N(F265)/60,2),0)</f>
        <v>0</v>
      </c>
      <c r="I265" s="22">
        <f>IF(C265="Dia útil",'Configurações'!$B$6,0)</f>
        <v>0</v>
      </c>
      <c r="J265" s="22">
        <f>H265+IF(OR(G265="Férias",G265="Atestado médico",G265="Consulta médica",G265="Folga de banco de horas",G265="Viagem a trabalho"),I265,IF(G265="Meio dia de férias",I265/2,0))</f>
        <v>0</v>
      </c>
      <c r="K265" s="23">
        <f>IF(OR(H265&gt;0,G265&lt;&gt;""),J265-I265,0)</f>
        <v>0</v>
      </c>
      <c r="L265" s="13"/>
      <c r="M265" s="20">
        <f>IF(A265="","",MONTH(A265))</f>
        <v>9</v>
      </c>
    </row>
    <row r="266" spans="1:13" x14ac:dyDescent="0.25">
      <c r="A266" s="18">
        <f>IF(YEAR(DATE('Configurações'!$B$5,1,1)+261)='Configurações'!$B$5,DATE('Configurações'!$B$5,1,1)+261,"")</f>
        <v>46649</v>
      </c>
      <c r="B266" s="19">
        <f>A266</f>
        <v>46649</v>
      </c>
      <c r="C266" s="20" t="str">
        <f>IF(A266="","",IF(COUNTIF('Feriados'!$A$5:$A$84,A266)&gt;0,"Feriado",IF(WEEKDAY(A266,2)&gt;5,"Fim de semana","Dia útil")))</f>
        <v>Fim de semana</v>
      </c>
      <c r="D266" s="21"/>
      <c r="E266" s="21"/>
      <c r="F266" s="14"/>
      <c r="G266" s="13"/>
      <c r="H266" s="22">
        <f>IF(AND(ISNUMBER(D266),ISNUMBER(E266)),ROUND(MOD(E266-D266,1)*24-N(F266)/60,2),0)</f>
        <v>0</v>
      </c>
      <c r="I266" s="22">
        <f>IF(C266="Dia útil",'Configurações'!$B$6,0)</f>
        <v>0</v>
      </c>
      <c r="J266" s="22">
        <f>H266+IF(OR(G266="Férias",G266="Atestado médico",G266="Consulta médica",G266="Folga de banco de horas",G266="Viagem a trabalho"),I266,IF(G266="Meio dia de férias",I266/2,0))</f>
        <v>0</v>
      </c>
      <c r="K266" s="23">
        <f>IF(OR(H266&gt;0,G266&lt;&gt;""),J266-I266,0)</f>
        <v>0</v>
      </c>
      <c r="L266" s="13"/>
      <c r="M266" s="20">
        <f>IF(A266="","",MONTH(A266))</f>
        <v>9</v>
      </c>
    </row>
    <row r="267" spans="1:13" x14ac:dyDescent="0.25">
      <c r="A267" s="18">
        <f>IF(YEAR(DATE('Configurações'!$B$5,1,1)+262)='Configurações'!$B$5,DATE('Configurações'!$B$5,1,1)+262,"")</f>
        <v>46650</v>
      </c>
      <c r="B267" s="19">
        <f>A267</f>
        <v>46650</v>
      </c>
      <c r="C267" s="20" t="str">
        <f>IF(A267="","",IF(COUNTIF('Feriados'!$A$5:$A$84,A267)&gt;0,"Feriado",IF(WEEKDAY(A267,2)&gt;5,"Fim de semana","Dia útil")))</f>
        <v>Dia útil</v>
      </c>
      <c r="D267" s="21"/>
      <c r="E267" s="21"/>
      <c r="F267" s="14"/>
      <c r="G267" s="13"/>
      <c r="H267" s="22">
        <f>IF(AND(ISNUMBER(D267),ISNUMBER(E267)),ROUND(MOD(E267-D267,1)*24-N(F267)/60,2),0)</f>
        <v>0</v>
      </c>
      <c r="I267" s="22">
        <f>IF(C267="Dia útil",'Configurações'!$B$6,0)</f>
        <v>8</v>
      </c>
      <c r="J267" s="22">
        <f>H267+IF(OR(G267="Férias",G267="Atestado médico",G267="Consulta médica",G267="Folga de banco de horas",G267="Viagem a trabalho"),I267,IF(G267="Meio dia de férias",I267/2,0))</f>
        <v>0</v>
      </c>
      <c r="K267" s="23">
        <f>IF(OR(H267&gt;0,G267&lt;&gt;""),J267-I267,0)</f>
        <v>0</v>
      </c>
      <c r="L267" s="13"/>
      <c r="M267" s="20">
        <f>IF(A267="","",MONTH(A267))</f>
        <v>9</v>
      </c>
    </row>
    <row r="268" spans="1:13" x14ac:dyDescent="0.25">
      <c r="A268" s="18">
        <f>IF(YEAR(DATE('Configurações'!$B$5,1,1)+263)='Configurações'!$B$5,DATE('Configurações'!$B$5,1,1)+263,"")</f>
        <v>46651</v>
      </c>
      <c r="B268" s="19">
        <f>A268</f>
        <v>46651</v>
      </c>
      <c r="C268" s="20" t="str">
        <f>IF(A268="","",IF(COUNTIF('Feriados'!$A$5:$A$84,A268)&gt;0,"Feriado",IF(WEEKDAY(A268,2)&gt;5,"Fim de semana","Dia útil")))</f>
        <v>Dia útil</v>
      </c>
      <c r="D268" s="21"/>
      <c r="E268" s="21"/>
      <c r="F268" s="14"/>
      <c r="G268" s="13"/>
      <c r="H268" s="22">
        <f>IF(AND(ISNUMBER(D268),ISNUMBER(E268)),ROUND(MOD(E268-D268,1)*24-N(F268)/60,2),0)</f>
        <v>0</v>
      </c>
      <c r="I268" s="22">
        <f>IF(C268="Dia útil",'Configurações'!$B$6,0)</f>
        <v>8</v>
      </c>
      <c r="J268" s="22">
        <f>H268+IF(OR(G268="Férias",G268="Atestado médico",G268="Consulta médica",G268="Folga de banco de horas",G268="Viagem a trabalho"),I268,IF(G268="Meio dia de férias",I268/2,0))</f>
        <v>0</v>
      </c>
      <c r="K268" s="23">
        <f>IF(OR(H268&gt;0,G268&lt;&gt;""),J268-I268,0)</f>
        <v>0</v>
      </c>
      <c r="L268" s="13"/>
      <c r="M268" s="20">
        <f>IF(A268="","",MONTH(A268))</f>
        <v>9</v>
      </c>
    </row>
    <row r="269" spans="1:13" x14ac:dyDescent="0.25">
      <c r="A269" s="18">
        <f>IF(YEAR(DATE('Configurações'!$B$5,1,1)+264)='Configurações'!$B$5,DATE('Configurações'!$B$5,1,1)+264,"")</f>
        <v>46652</v>
      </c>
      <c r="B269" s="19">
        <f>A269</f>
        <v>46652</v>
      </c>
      <c r="C269" s="20" t="str">
        <f>IF(A269="","",IF(COUNTIF('Feriados'!$A$5:$A$84,A269)&gt;0,"Feriado",IF(WEEKDAY(A269,2)&gt;5,"Fim de semana","Dia útil")))</f>
        <v>Dia útil</v>
      </c>
      <c r="D269" s="21"/>
      <c r="E269" s="21"/>
      <c r="F269" s="14"/>
      <c r="G269" s="13"/>
      <c r="H269" s="22">
        <f>IF(AND(ISNUMBER(D269),ISNUMBER(E269)),ROUND(MOD(E269-D269,1)*24-N(F269)/60,2),0)</f>
        <v>0</v>
      </c>
      <c r="I269" s="22">
        <f>IF(C269="Dia útil",'Configurações'!$B$6,0)</f>
        <v>8</v>
      </c>
      <c r="J269" s="22">
        <f>H269+IF(OR(G269="Férias",G269="Atestado médico",G269="Consulta médica",G269="Folga de banco de horas",G269="Viagem a trabalho"),I269,IF(G269="Meio dia de férias",I269/2,0))</f>
        <v>0</v>
      </c>
      <c r="K269" s="23">
        <f>IF(OR(H269&gt;0,G269&lt;&gt;""),J269-I269,0)</f>
        <v>0</v>
      </c>
      <c r="L269" s="13"/>
      <c r="M269" s="20">
        <f>IF(A269="","",MONTH(A269))</f>
        <v>9</v>
      </c>
    </row>
    <row r="270" spans="1:13" x14ac:dyDescent="0.25">
      <c r="A270" s="18">
        <f>IF(YEAR(DATE('Configurações'!$B$5,1,1)+265)='Configurações'!$B$5,DATE('Configurações'!$B$5,1,1)+265,"")</f>
        <v>46653</v>
      </c>
      <c r="B270" s="19">
        <f>A270</f>
        <v>46653</v>
      </c>
      <c r="C270" s="20" t="str">
        <f>IF(A270="","",IF(COUNTIF('Feriados'!$A$5:$A$84,A270)&gt;0,"Feriado",IF(WEEKDAY(A270,2)&gt;5,"Fim de semana","Dia útil")))</f>
        <v>Dia útil</v>
      </c>
      <c r="D270" s="21"/>
      <c r="E270" s="21"/>
      <c r="F270" s="14"/>
      <c r="G270" s="13"/>
      <c r="H270" s="22">
        <f>IF(AND(ISNUMBER(D270),ISNUMBER(E270)),ROUND(MOD(E270-D270,1)*24-N(F270)/60,2),0)</f>
        <v>0</v>
      </c>
      <c r="I270" s="22">
        <f>IF(C270="Dia útil",'Configurações'!$B$6,0)</f>
        <v>8</v>
      </c>
      <c r="J270" s="22">
        <f>H270+IF(OR(G270="Férias",G270="Atestado médico",G270="Consulta médica",G270="Folga de banco de horas",G270="Viagem a trabalho"),I270,IF(G270="Meio dia de férias",I270/2,0))</f>
        <v>0</v>
      </c>
      <c r="K270" s="23">
        <f>IF(OR(H270&gt;0,G270&lt;&gt;""),J270-I270,0)</f>
        <v>0</v>
      </c>
      <c r="L270" s="13"/>
      <c r="M270" s="20">
        <f>IF(A270="","",MONTH(A270))</f>
        <v>9</v>
      </c>
    </row>
    <row r="271" spans="1:13" x14ac:dyDescent="0.25">
      <c r="A271" s="18">
        <f>IF(YEAR(DATE('Configurações'!$B$5,1,1)+266)='Configurações'!$B$5,DATE('Configurações'!$B$5,1,1)+266,"")</f>
        <v>46654</v>
      </c>
      <c r="B271" s="19">
        <f>A271</f>
        <v>46654</v>
      </c>
      <c r="C271" s="20" t="str">
        <f>IF(A271="","",IF(COUNTIF('Feriados'!$A$5:$A$84,A271)&gt;0,"Feriado",IF(WEEKDAY(A271,2)&gt;5,"Fim de semana","Dia útil")))</f>
        <v>Dia útil</v>
      </c>
      <c r="D271" s="21"/>
      <c r="E271" s="21"/>
      <c r="F271" s="14"/>
      <c r="G271" s="13"/>
      <c r="H271" s="22">
        <f>IF(AND(ISNUMBER(D271),ISNUMBER(E271)),ROUND(MOD(E271-D271,1)*24-N(F271)/60,2),0)</f>
        <v>0</v>
      </c>
      <c r="I271" s="22">
        <f>IF(C271="Dia útil",'Configurações'!$B$6,0)</f>
        <v>8</v>
      </c>
      <c r="J271" s="22">
        <f>H271+IF(OR(G271="Férias",G271="Atestado médico",G271="Consulta médica",G271="Folga de banco de horas",G271="Viagem a trabalho"),I271,IF(G271="Meio dia de férias",I271/2,0))</f>
        <v>0</v>
      </c>
      <c r="K271" s="23">
        <f>IF(OR(H271&gt;0,G271&lt;&gt;""),J271-I271,0)</f>
        <v>0</v>
      </c>
      <c r="L271" s="13"/>
      <c r="M271" s="20">
        <f>IF(A271="","",MONTH(A271))</f>
        <v>9</v>
      </c>
    </row>
    <row r="272" spans="1:13" x14ac:dyDescent="0.25">
      <c r="A272" s="18">
        <f>IF(YEAR(DATE('Configurações'!$B$5,1,1)+267)='Configurações'!$B$5,DATE('Configurações'!$B$5,1,1)+267,"")</f>
        <v>46655</v>
      </c>
      <c r="B272" s="19">
        <f>A272</f>
        <v>46655</v>
      </c>
      <c r="C272" s="20" t="str">
        <f>IF(A272="","",IF(COUNTIF('Feriados'!$A$5:$A$84,A272)&gt;0,"Feriado",IF(WEEKDAY(A272,2)&gt;5,"Fim de semana","Dia útil")))</f>
        <v>Fim de semana</v>
      </c>
      <c r="D272" s="21"/>
      <c r="E272" s="21"/>
      <c r="F272" s="14"/>
      <c r="G272" s="13"/>
      <c r="H272" s="22">
        <f>IF(AND(ISNUMBER(D272),ISNUMBER(E272)),ROUND(MOD(E272-D272,1)*24-N(F272)/60,2),0)</f>
        <v>0</v>
      </c>
      <c r="I272" s="22">
        <f>IF(C272="Dia útil",'Configurações'!$B$6,0)</f>
        <v>0</v>
      </c>
      <c r="J272" s="22">
        <f>H272+IF(OR(G272="Férias",G272="Atestado médico",G272="Consulta médica",G272="Folga de banco de horas",G272="Viagem a trabalho"),I272,IF(G272="Meio dia de férias",I272/2,0))</f>
        <v>0</v>
      </c>
      <c r="K272" s="23">
        <f>IF(OR(H272&gt;0,G272&lt;&gt;""),J272-I272,0)</f>
        <v>0</v>
      </c>
      <c r="L272" s="13"/>
      <c r="M272" s="20">
        <f>IF(A272="","",MONTH(A272))</f>
        <v>9</v>
      </c>
    </row>
    <row r="273" spans="1:13" x14ac:dyDescent="0.25">
      <c r="A273" s="18">
        <f>IF(YEAR(DATE('Configurações'!$B$5,1,1)+268)='Configurações'!$B$5,DATE('Configurações'!$B$5,1,1)+268,"")</f>
        <v>46656</v>
      </c>
      <c r="B273" s="19">
        <f>A273</f>
        <v>46656</v>
      </c>
      <c r="C273" s="20" t="str">
        <f>IF(A273="","",IF(COUNTIF('Feriados'!$A$5:$A$84,A273)&gt;0,"Feriado",IF(WEEKDAY(A273,2)&gt;5,"Fim de semana","Dia útil")))</f>
        <v>Fim de semana</v>
      </c>
      <c r="D273" s="21"/>
      <c r="E273" s="21"/>
      <c r="F273" s="14"/>
      <c r="G273" s="13"/>
      <c r="H273" s="22">
        <f>IF(AND(ISNUMBER(D273),ISNUMBER(E273)),ROUND(MOD(E273-D273,1)*24-N(F273)/60,2),0)</f>
        <v>0</v>
      </c>
      <c r="I273" s="22">
        <f>IF(C273="Dia útil",'Configurações'!$B$6,0)</f>
        <v>0</v>
      </c>
      <c r="J273" s="22">
        <f>H273+IF(OR(G273="Férias",G273="Atestado médico",G273="Consulta médica",G273="Folga de banco de horas",G273="Viagem a trabalho"),I273,IF(G273="Meio dia de férias",I273/2,0))</f>
        <v>0</v>
      </c>
      <c r="K273" s="23">
        <f>IF(OR(H273&gt;0,G273&lt;&gt;""),J273-I273,0)</f>
        <v>0</v>
      </c>
      <c r="L273" s="13"/>
      <c r="M273" s="20">
        <f>IF(A273="","",MONTH(A273))</f>
        <v>9</v>
      </c>
    </row>
    <row r="274" spans="1:13" x14ac:dyDescent="0.25">
      <c r="A274" s="18">
        <f>IF(YEAR(DATE('Configurações'!$B$5,1,1)+269)='Configurações'!$B$5,DATE('Configurações'!$B$5,1,1)+269,"")</f>
        <v>46657</v>
      </c>
      <c r="B274" s="19">
        <f>A274</f>
        <v>46657</v>
      </c>
      <c r="C274" s="20" t="str">
        <f>IF(A274="","",IF(COUNTIF('Feriados'!$A$5:$A$84,A274)&gt;0,"Feriado",IF(WEEKDAY(A274,2)&gt;5,"Fim de semana","Dia útil")))</f>
        <v>Dia útil</v>
      </c>
      <c r="D274" s="21"/>
      <c r="E274" s="21"/>
      <c r="F274" s="14"/>
      <c r="G274" s="13"/>
      <c r="H274" s="22">
        <f>IF(AND(ISNUMBER(D274),ISNUMBER(E274)),ROUND(MOD(E274-D274,1)*24-N(F274)/60,2),0)</f>
        <v>0</v>
      </c>
      <c r="I274" s="22">
        <f>IF(C274="Dia útil",'Configurações'!$B$6,0)</f>
        <v>8</v>
      </c>
      <c r="J274" s="22">
        <f>H274+IF(OR(G274="Férias",G274="Atestado médico",G274="Consulta médica",G274="Folga de banco de horas",G274="Viagem a trabalho"),I274,IF(G274="Meio dia de férias",I274/2,0))</f>
        <v>0</v>
      </c>
      <c r="K274" s="23">
        <f>IF(OR(H274&gt;0,G274&lt;&gt;""),J274-I274,0)</f>
        <v>0</v>
      </c>
      <c r="L274" s="13"/>
      <c r="M274" s="20">
        <f>IF(A274="","",MONTH(A274))</f>
        <v>9</v>
      </c>
    </row>
    <row r="275" spans="1:13" x14ac:dyDescent="0.25">
      <c r="A275" s="18">
        <f>IF(YEAR(DATE('Configurações'!$B$5,1,1)+270)='Configurações'!$B$5,DATE('Configurações'!$B$5,1,1)+270,"")</f>
        <v>46658</v>
      </c>
      <c r="B275" s="19">
        <f>A275</f>
        <v>46658</v>
      </c>
      <c r="C275" s="20" t="str">
        <f>IF(A275="","",IF(COUNTIF('Feriados'!$A$5:$A$84,A275)&gt;0,"Feriado",IF(WEEKDAY(A275,2)&gt;5,"Fim de semana","Dia útil")))</f>
        <v>Dia útil</v>
      </c>
      <c r="D275" s="21"/>
      <c r="E275" s="21"/>
      <c r="F275" s="14"/>
      <c r="G275" s="13"/>
      <c r="H275" s="22">
        <f>IF(AND(ISNUMBER(D275),ISNUMBER(E275)),ROUND(MOD(E275-D275,1)*24-N(F275)/60,2),0)</f>
        <v>0</v>
      </c>
      <c r="I275" s="22">
        <f>IF(C275="Dia útil",'Configurações'!$B$6,0)</f>
        <v>8</v>
      </c>
      <c r="J275" s="22">
        <f>H275+IF(OR(G275="Férias",G275="Atestado médico",G275="Consulta médica",G275="Folga de banco de horas",G275="Viagem a trabalho"),I275,IF(G275="Meio dia de férias",I275/2,0))</f>
        <v>0</v>
      </c>
      <c r="K275" s="23">
        <f>IF(OR(H275&gt;0,G275&lt;&gt;""),J275-I275,0)</f>
        <v>0</v>
      </c>
      <c r="L275" s="13"/>
      <c r="M275" s="20">
        <f>IF(A275="","",MONTH(A275))</f>
        <v>9</v>
      </c>
    </row>
    <row r="276" spans="1:13" x14ac:dyDescent="0.25">
      <c r="A276" s="18">
        <f>IF(YEAR(DATE('Configurações'!$B$5,1,1)+271)='Configurações'!$B$5,DATE('Configurações'!$B$5,1,1)+271,"")</f>
        <v>46659</v>
      </c>
      <c r="B276" s="19">
        <f>A276</f>
        <v>46659</v>
      </c>
      <c r="C276" s="20" t="str">
        <f>IF(A276="","",IF(COUNTIF('Feriados'!$A$5:$A$84,A276)&gt;0,"Feriado",IF(WEEKDAY(A276,2)&gt;5,"Fim de semana","Dia útil")))</f>
        <v>Dia útil</v>
      </c>
      <c r="D276" s="21"/>
      <c r="E276" s="21"/>
      <c r="F276" s="14"/>
      <c r="G276" s="13"/>
      <c r="H276" s="22">
        <f>IF(AND(ISNUMBER(D276),ISNUMBER(E276)),ROUND(MOD(E276-D276,1)*24-N(F276)/60,2),0)</f>
        <v>0</v>
      </c>
      <c r="I276" s="22">
        <f>IF(C276="Dia útil",'Configurações'!$B$6,0)</f>
        <v>8</v>
      </c>
      <c r="J276" s="22">
        <f>H276+IF(OR(G276="Férias",G276="Atestado médico",G276="Consulta médica",G276="Folga de banco de horas",G276="Viagem a trabalho"),I276,IF(G276="Meio dia de férias",I276/2,0))</f>
        <v>0</v>
      </c>
      <c r="K276" s="23">
        <f>IF(OR(H276&gt;0,G276&lt;&gt;""),J276-I276,0)</f>
        <v>0</v>
      </c>
      <c r="L276" s="13"/>
      <c r="M276" s="20">
        <f>IF(A276="","",MONTH(A276))</f>
        <v>9</v>
      </c>
    </row>
    <row r="277" spans="1:13" x14ac:dyDescent="0.25">
      <c r="A277" s="18">
        <f>IF(YEAR(DATE('Configurações'!$B$5,1,1)+272)='Configurações'!$B$5,DATE('Configurações'!$B$5,1,1)+272,"")</f>
        <v>46660</v>
      </c>
      <c r="B277" s="19">
        <f>A277</f>
        <v>46660</v>
      </c>
      <c r="C277" s="20" t="str">
        <f>IF(A277="","",IF(COUNTIF('Feriados'!$A$5:$A$84,A277)&gt;0,"Feriado",IF(WEEKDAY(A277,2)&gt;5,"Fim de semana","Dia útil")))</f>
        <v>Dia útil</v>
      </c>
      <c r="D277" s="21"/>
      <c r="E277" s="21"/>
      <c r="F277" s="14"/>
      <c r="G277" s="13"/>
      <c r="H277" s="22">
        <f>IF(AND(ISNUMBER(D277),ISNUMBER(E277)),ROUND(MOD(E277-D277,1)*24-N(F277)/60,2),0)</f>
        <v>0</v>
      </c>
      <c r="I277" s="22">
        <f>IF(C277="Dia útil",'Configurações'!$B$6,0)</f>
        <v>8</v>
      </c>
      <c r="J277" s="22">
        <f>H277+IF(OR(G277="Férias",G277="Atestado médico",G277="Consulta médica",G277="Folga de banco de horas",G277="Viagem a trabalho"),I277,IF(G277="Meio dia de férias",I277/2,0))</f>
        <v>0</v>
      </c>
      <c r="K277" s="23">
        <f>IF(OR(H277&gt;0,G277&lt;&gt;""),J277-I277,0)</f>
        <v>0</v>
      </c>
      <c r="L277" s="13"/>
      <c r="M277" s="20">
        <f>IF(A277="","",MONTH(A277))</f>
        <v>9</v>
      </c>
    </row>
    <row r="278" spans="1:13" x14ac:dyDescent="0.25">
      <c r="A278" s="18">
        <f>IF(YEAR(DATE('Configurações'!$B$5,1,1)+273)='Configurações'!$B$5,DATE('Configurações'!$B$5,1,1)+273,"")</f>
        <v>46661</v>
      </c>
      <c r="B278" s="19">
        <f>A278</f>
        <v>46661</v>
      </c>
      <c r="C278" s="20" t="str">
        <f>IF(A278="","",IF(COUNTIF('Feriados'!$A$5:$A$84,A278)&gt;0,"Feriado",IF(WEEKDAY(A278,2)&gt;5,"Fim de semana","Dia útil")))</f>
        <v>Dia útil</v>
      </c>
      <c r="D278" s="21"/>
      <c r="E278" s="21"/>
      <c r="F278" s="14"/>
      <c r="G278" s="13"/>
      <c r="H278" s="22">
        <f>IF(AND(ISNUMBER(D278),ISNUMBER(E278)),ROUND(MOD(E278-D278,1)*24-N(F278)/60,2),0)</f>
        <v>0</v>
      </c>
      <c r="I278" s="22">
        <f>IF(C278="Dia útil",'Configurações'!$B$6,0)</f>
        <v>8</v>
      </c>
      <c r="J278" s="22">
        <f>H278+IF(OR(G278="Férias",G278="Atestado médico",G278="Consulta médica",G278="Folga de banco de horas",G278="Viagem a trabalho"),I278,IF(G278="Meio dia de férias",I278/2,0))</f>
        <v>0</v>
      </c>
      <c r="K278" s="23">
        <f>IF(OR(H278&gt;0,G278&lt;&gt;""),J278-I278,0)</f>
        <v>0</v>
      </c>
      <c r="L278" s="13"/>
      <c r="M278" s="20">
        <f>IF(A278="","",MONTH(A278))</f>
        <v>10</v>
      </c>
    </row>
    <row r="279" spans="1:13" x14ac:dyDescent="0.25">
      <c r="A279" s="18">
        <f>IF(YEAR(DATE('Configurações'!$B$5,1,1)+274)='Configurações'!$B$5,DATE('Configurações'!$B$5,1,1)+274,"")</f>
        <v>46662</v>
      </c>
      <c r="B279" s="19">
        <f>A279</f>
        <v>46662</v>
      </c>
      <c r="C279" s="20" t="str">
        <f>IF(A279="","",IF(COUNTIF('Feriados'!$A$5:$A$84,A279)&gt;0,"Feriado",IF(WEEKDAY(A279,2)&gt;5,"Fim de semana","Dia útil")))</f>
        <v>Fim de semana</v>
      </c>
      <c r="D279" s="21"/>
      <c r="E279" s="21"/>
      <c r="F279" s="14"/>
      <c r="G279" s="13"/>
      <c r="H279" s="22">
        <f>IF(AND(ISNUMBER(D279),ISNUMBER(E279)),ROUND(MOD(E279-D279,1)*24-N(F279)/60,2),0)</f>
        <v>0</v>
      </c>
      <c r="I279" s="22">
        <f>IF(C279="Dia útil",'Configurações'!$B$6,0)</f>
        <v>0</v>
      </c>
      <c r="J279" s="22">
        <f>H279+IF(OR(G279="Férias",G279="Atestado médico",G279="Consulta médica",G279="Folga de banco de horas",G279="Viagem a trabalho"),I279,IF(G279="Meio dia de férias",I279/2,0))</f>
        <v>0</v>
      </c>
      <c r="K279" s="23">
        <f>IF(OR(H279&gt;0,G279&lt;&gt;""),J279-I279,0)</f>
        <v>0</v>
      </c>
      <c r="L279" s="13"/>
      <c r="M279" s="20">
        <f>IF(A279="","",MONTH(A279))</f>
        <v>10</v>
      </c>
    </row>
    <row r="280" spans="1:13" x14ac:dyDescent="0.25">
      <c r="A280" s="18">
        <f>IF(YEAR(DATE('Configurações'!$B$5,1,1)+275)='Configurações'!$B$5,DATE('Configurações'!$B$5,1,1)+275,"")</f>
        <v>46663</v>
      </c>
      <c r="B280" s="19">
        <f>A280</f>
        <v>46663</v>
      </c>
      <c r="C280" s="20" t="str">
        <f>IF(A280="","",IF(COUNTIF('Feriados'!$A$5:$A$84,A280)&gt;0,"Feriado",IF(WEEKDAY(A280,2)&gt;5,"Fim de semana","Dia útil")))</f>
        <v>Fim de semana</v>
      </c>
      <c r="D280" s="21"/>
      <c r="E280" s="21"/>
      <c r="F280" s="14"/>
      <c r="G280" s="13"/>
      <c r="H280" s="22">
        <f>IF(AND(ISNUMBER(D280),ISNUMBER(E280)),ROUND(MOD(E280-D280,1)*24-N(F280)/60,2),0)</f>
        <v>0</v>
      </c>
      <c r="I280" s="22">
        <f>IF(C280="Dia útil",'Configurações'!$B$6,0)</f>
        <v>0</v>
      </c>
      <c r="J280" s="22">
        <f>H280+IF(OR(G280="Férias",G280="Atestado médico",G280="Consulta médica",G280="Folga de banco de horas",G280="Viagem a trabalho"),I280,IF(G280="Meio dia de férias",I280/2,0))</f>
        <v>0</v>
      </c>
      <c r="K280" s="23">
        <f>IF(OR(H280&gt;0,G280&lt;&gt;""),J280-I280,0)</f>
        <v>0</v>
      </c>
      <c r="L280" s="13"/>
      <c r="M280" s="20">
        <f>IF(A280="","",MONTH(A280))</f>
        <v>10</v>
      </c>
    </row>
    <row r="281" spans="1:13" x14ac:dyDescent="0.25">
      <c r="A281" s="18">
        <f>IF(YEAR(DATE('Configurações'!$B$5,1,1)+276)='Configurações'!$B$5,DATE('Configurações'!$B$5,1,1)+276,"")</f>
        <v>46664</v>
      </c>
      <c r="B281" s="19">
        <f>A281</f>
        <v>46664</v>
      </c>
      <c r="C281" s="20" t="str">
        <f>IF(A281="","",IF(COUNTIF('Feriados'!$A$5:$A$84,A281)&gt;0,"Feriado",IF(WEEKDAY(A281,2)&gt;5,"Fim de semana","Dia útil")))</f>
        <v>Dia útil</v>
      </c>
      <c r="D281" s="21"/>
      <c r="E281" s="21"/>
      <c r="F281" s="14"/>
      <c r="G281" s="13"/>
      <c r="H281" s="22">
        <f>IF(AND(ISNUMBER(D281),ISNUMBER(E281)),ROUND(MOD(E281-D281,1)*24-N(F281)/60,2),0)</f>
        <v>0</v>
      </c>
      <c r="I281" s="22">
        <f>IF(C281="Dia útil",'Configurações'!$B$6,0)</f>
        <v>8</v>
      </c>
      <c r="J281" s="22">
        <f>H281+IF(OR(G281="Férias",G281="Atestado médico",G281="Consulta médica",G281="Folga de banco de horas",G281="Viagem a trabalho"),I281,IF(G281="Meio dia de férias",I281/2,0))</f>
        <v>0</v>
      </c>
      <c r="K281" s="23">
        <f>IF(OR(H281&gt;0,G281&lt;&gt;""),J281-I281,0)</f>
        <v>0</v>
      </c>
      <c r="L281" s="13"/>
      <c r="M281" s="20">
        <f>IF(A281="","",MONTH(A281))</f>
        <v>10</v>
      </c>
    </row>
    <row r="282" spans="1:13" x14ac:dyDescent="0.25">
      <c r="A282" s="18">
        <f>IF(YEAR(DATE('Configurações'!$B$5,1,1)+277)='Configurações'!$B$5,DATE('Configurações'!$B$5,1,1)+277,"")</f>
        <v>46665</v>
      </c>
      <c r="B282" s="19">
        <f>A282</f>
        <v>46665</v>
      </c>
      <c r="C282" s="20" t="str">
        <f>IF(A282="","",IF(COUNTIF('Feriados'!$A$5:$A$84,A282)&gt;0,"Feriado",IF(WEEKDAY(A282,2)&gt;5,"Fim de semana","Dia útil")))</f>
        <v>Dia útil</v>
      </c>
      <c r="D282" s="21"/>
      <c r="E282" s="21"/>
      <c r="F282" s="14"/>
      <c r="G282" s="13"/>
      <c r="H282" s="22">
        <f>IF(AND(ISNUMBER(D282),ISNUMBER(E282)),ROUND(MOD(E282-D282,1)*24-N(F282)/60,2),0)</f>
        <v>0</v>
      </c>
      <c r="I282" s="22">
        <f>IF(C282="Dia útil",'Configurações'!$B$6,0)</f>
        <v>8</v>
      </c>
      <c r="J282" s="22">
        <f>H282+IF(OR(G282="Férias",G282="Atestado médico",G282="Consulta médica",G282="Folga de banco de horas",G282="Viagem a trabalho"),I282,IF(G282="Meio dia de férias",I282/2,0))</f>
        <v>0</v>
      </c>
      <c r="K282" s="23">
        <f>IF(OR(H282&gt;0,G282&lt;&gt;""),J282-I282,0)</f>
        <v>0</v>
      </c>
      <c r="L282" s="13"/>
      <c r="M282" s="20">
        <f>IF(A282="","",MONTH(A282))</f>
        <v>10</v>
      </c>
    </row>
    <row r="283" spans="1:13" x14ac:dyDescent="0.25">
      <c r="A283" s="18">
        <f>IF(YEAR(DATE('Configurações'!$B$5,1,1)+278)='Configurações'!$B$5,DATE('Configurações'!$B$5,1,1)+278,"")</f>
        <v>46666</v>
      </c>
      <c r="B283" s="19">
        <f>A283</f>
        <v>46666</v>
      </c>
      <c r="C283" s="20" t="str">
        <f>IF(A283="","",IF(COUNTIF('Feriados'!$A$5:$A$84,A283)&gt;0,"Feriado",IF(WEEKDAY(A283,2)&gt;5,"Fim de semana","Dia útil")))</f>
        <v>Dia útil</v>
      </c>
      <c r="D283" s="21"/>
      <c r="E283" s="21"/>
      <c r="F283" s="14"/>
      <c r="G283" s="13"/>
      <c r="H283" s="22">
        <f>IF(AND(ISNUMBER(D283),ISNUMBER(E283)),ROUND(MOD(E283-D283,1)*24-N(F283)/60,2),0)</f>
        <v>0</v>
      </c>
      <c r="I283" s="22">
        <f>IF(C283="Dia útil",'Configurações'!$B$6,0)</f>
        <v>8</v>
      </c>
      <c r="J283" s="22">
        <f>H283+IF(OR(G283="Férias",G283="Atestado médico",G283="Consulta médica",G283="Folga de banco de horas",G283="Viagem a trabalho"),I283,IF(G283="Meio dia de férias",I283/2,0))</f>
        <v>0</v>
      </c>
      <c r="K283" s="23">
        <f>IF(OR(H283&gt;0,G283&lt;&gt;""),J283-I283,0)</f>
        <v>0</v>
      </c>
      <c r="L283" s="13"/>
      <c r="M283" s="20">
        <f>IF(A283="","",MONTH(A283))</f>
        <v>10</v>
      </c>
    </row>
    <row r="284" spans="1:13" x14ac:dyDescent="0.25">
      <c r="A284" s="18">
        <f>IF(YEAR(DATE('Configurações'!$B$5,1,1)+279)='Configurações'!$B$5,DATE('Configurações'!$B$5,1,1)+279,"")</f>
        <v>46667</v>
      </c>
      <c r="B284" s="19">
        <f>A284</f>
        <v>46667</v>
      </c>
      <c r="C284" s="20" t="str">
        <f>IF(A284="","",IF(COUNTIF('Feriados'!$A$5:$A$84,A284)&gt;0,"Feriado",IF(WEEKDAY(A284,2)&gt;5,"Fim de semana","Dia útil")))</f>
        <v>Dia útil</v>
      </c>
      <c r="D284" s="21"/>
      <c r="E284" s="21"/>
      <c r="F284" s="14"/>
      <c r="G284" s="13"/>
      <c r="H284" s="22">
        <f>IF(AND(ISNUMBER(D284),ISNUMBER(E284)),ROUND(MOD(E284-D284,1)*24-N(F284)/60,2),0)</f>
        <v>0</v>
      </c>
      <c r="I284" s="22">
        <f>IF(C284="Dia útil",'Configurações'!$B$6,0)</f>
        <v>8</v>
      </c>
      <c r="J284" s="22">
        <f>H284+IF(OR(G284="Férias",G284="Atestado médico",G284="Consulta médica",G284="Folga de banco de horas",G284="Viagem a trabalho"),I284,IF(G284="Meio dia de férias",I284/2,0))</f>
        <v>0</v>
      </c>
      <c r="K284" s="23">
        <f>IF(OR(H284&gt;0,G284&lt;&gt;""),J284-I284,0)</f>
        <v>0</v>
      </c>
      <c r="L284" s="13"/>
      <c r="M284" s="20">
        <f>IF(A284="","",MONTH(A284))</f>
        <v>10</v>
      </c>
    </row>
    <row r="285" spans="1:13" x14ac:dyDescent="0.25">
      <c r="A285" s="18">
        <f>IF(YEAR(DATE('Configurações'!$B$5,1,1)+280)='Configurações'!$B$5,DATE('Configurações'!$B$5,1,1)+280,"")</f>
        <v>46668</v>
      </c>
      <c r="B285" s="19">
        <f>A285</f>
        <v>46668</v>
      </c>
      <c r="C285" s="20" t="str">
        <f>IF(A285="","",IF(COUNTIF('Feriados'!$A$5:$A$84,A285)&gt;0,"Feriado",IF(WEEKDAY(A285,2)&gt;5,"Fim de semana","Dia útil")))</f>
        <v>Dia útil</v>
      </c>
      <c r="D285" s="21"/>
      <c r="E285" s="21"/>
      <c r="F285" s="14"/>
      <c r="G285" s="13"/>
      <c r="H285" s="22">
        <f>IF(AND(ISNUMBER(D285),ISNUMBER(E285)),ROUND(MOD(E285-D285,1)*24-N(F285)/60,2),0)</f>
        <v>0</v>
      </c>
      <c r="I285" s="22">
        <f>IF(C285="Dia útil",'Configurações'!$B$6,0)</f>
        <v>8</v>
      </c>
      <c r="J285" s="22">
        <f>H285+IF(OR(G285="Férias",G285="Atestado médico",G285="Consulta médica",G285="Folga de banco de horas",G285="Viagem a trabalho"),I285,IF(G285="Meio dia de férias",I285/2,0))</f>
        <v>0</v>
      </c>
      <c r="K285" s="23">
        <f>IF(OR(H285&gt;0,G285&lt;&gt;""),J285-I285,0)</f>
        <v>0</v>
      </c>
      <c r="L285" s="13"/>
      <c r="M285" s="20">
        <f>IF(A285="","",MONTH(A285))</f>
        <v>10</v>
      </c>
    </row>
    <row r="286" spans="1:13" x14ac:dyDescent="0.25">
      <c r="A286" s="18">
        <f>IF(YEAR(DATE('Configurações'!$B$5,1,1)+281)='Configurações'!$B$5,DATE('Configurações'!$B$5,1,1)+281,"")</f>
        <v>46669</v>
      </c>
      <c r="B286" s="19">
        <f>A286</f>
        <v>46669</v>
      </c>
      <c r="C286" s="20" t="str">
        <f>IF(A286="","",IF(COUNTIF('Feriados'!$A$5:$A$84,A286)&gt;0,"Feriado",IF(WEEKDAY(A286,2)&gt;5,"Fim de semana","Dia útil")))</f>
        <v>Fim de semana</v>
      </c>
      <c r="D286" s="21"/>
      <c r="E286" s="21"/>
      <c r="F286" s="14"/>
      <c r="G286" s="13"/>
      <c r="H286" s="22">
        <f>IF(AND(ISNUMBER(D286),ISNUMBER(E286)),ROUND(MOD(E286-D286,1)*24-N(F286)/60,2),0)</f>
        <v>0</v>
      </c>
      <c r="I286" s="22">
        <f>IF(C286="Dia útil",'Configurações'!$B$6,0)</f>
        <v>0</v>
      </c>
      <c r="J286" s="22">
        <f>H286+IF(OR(G286="Férias",G286="Atestado médico",G286="Consulta médica",G286="Folga de banco de horas",G286="Viagem a trabalho"),I286,IF(G286="Meio dia de férias",I286/2,0))</f>
        <v>0</v>
      </c>
      <c r="K286" s="23">
        <f>IF(OR(H286&gt;0,G286&lt;&gt;""),J286-I286,0)</f>
        <v>0</v>
      </c>
      <c r="L286" s="13"/>
      <c r="M286" s="20">
        <f>IF(A286="","",MONTH(A286))</f>
        <v>10</v>
      </c>
    </row>
    <row r="287" spans="1:13" x14ac:dyDescent="0.25">
      <c r="A287" s="18">
        <f>IF(YEAR(DATE('Configurações'!$B$5,1,1)+282)='Configurações'!$B$5,DATE('Configurações'!$B$5,1,1)+282,"")</f>
        <v>46670</v>
      </c>
      <c r="B287" s="19">
        <f>A287</f>
        <v>46670</v>
      </c>
      <c r="C287" s="20" t="str">
        <f>IF(A287="","",IF(COUNTIF('Feriados'!$A$5:$A$84,A287)&gt;0,"Feriado",IF(WEEKDAY(A287,2)&gt;5,"Fim de semana","Dia útil")))</f>
        <v>Fim de semana</v>
      </c>
      <c r="D287" s="21"/>
      <c r="E287" s="21"/>
      <c r="F287" s="14"/>
      <c r="G287" s="13"/>
      <c r="H287" s="22">
        <f>IF(AND(ISNUMBER(D287),ISNUMBER(E287)),ROUND(MOD(E287-D287,1)*24-N(F287)/60,2),0)</f>
        <v>0</v>
      </c>
      <c r="I287" s="22">
        <f>IF(C287="Dia útil",'Configurações'!$B$6,0)</f>
        <v>0</v>
      </c>
      <c r="J287" s="22">
        <f>H287+IF(OR(G287="Férias",G287="Atestado médico",G287="Consulta médica",G287="Folga de banco de horas",G287="Viagem a trabalho"),I287,IF(G287="Meio dia de férias",I287/2,0))</f>
        <v>0</v>
      </c>
      <c r="K287" s="23">
        <f>IF(OR(H287&gt;0,G287&lt;&gt;""),J287-I287,0)</f>
        <v>0</v>
      </c>
      <c r="L287" s="13"/>
      <c r="M287" s="20">
        <f>IF(A287="","",MONTH(A287))</f>
        <v>10</v>
      </c>
    </row>
    <row r="288" spans="1:13" x14ac:dyDescent="0.25">
      <c r="A288" s="18">
        <f>IF(YEAR(DATE('Configurações'!$B$5,1,1)+283)='Configurações'!$B$5,DATE('Configurações'!$B$5,1,1)+283,"")</f>
        <v>46671</v>
      </c>
      <c r="B288" s="19">
        <f>A288</f>
        <v>46671</v>
      </c>
      <c r="C288" s="20" t="str">
        <f>IF(A288="","",IF(COUNTIF('Feriados'!$A$5:$A$84,A288)&gt;0,"Feriado",IF(WEEKDAY(A288,2)&gt;5,"Fim de semana","Dia útil")))</f>
        <v>Dia útil</v>
      </c>
      <c r="D288" s="21"/>
      <c r="E288" s="21"/>
      <c r="F288" s="14"/>
      <c r="G288" s="13"/>
      <c r="H288" s="22">
        <f>IF(AND(ISNUMBER(D288),ISNUMBER(E288)),ROUND(MOD(E288-D288,1)*24-N(F288)/60,2),0)</f>
        <v>0</v>
      </c>
      <c r="I288" s="22">
        <f>IF(C288="Dia útil",'Configurações'!$B$6,0)</f>
        <v>8</v>
      </c>
      <c r="J288" s="22">
        <f>H288+IF(OR(G288="Férias",G288="Atestado médico",G288="Consulta médica",G288="Folga de banco de horas",G288="Viagem a trabalho"),I288,IF(G288="Meio dia de férias",I288/2,0))</f>
        <v>0</v>
      </c>
      <c r="K288" s="23">
        <f>IF(OR(H288&gt;0,G288&lt;&gt;""),J288-I288,0)</f>
        <v>0</v>
      </c>
      <c r="L288" s="13"/>
      <c r="M288" s="20">
        <f>IF(A288="","",MONTH(A288))</f>
        <v>10</v>
      </c>
    </row>
    <row r="289" spans="1:13" x14ac:dyDescent="0.25">
      <c r="A289" s="18">
        <f>IF(YEAR(DATE('Configurações'!$B$5,1,1)+284)='Configurações'!$B$5,DATE('Configurações'!$B$5,1,1)+284,"")</f>
        <v>46672</v>
      </c>
      <c r="B289" s="19">
        <f>A289</f>
        <v>46672</v>
      </c>
      <c r="C289" s="20" t="str">
        <f>IF(A289="","",IF(COUNTIF('Feriados'!$A$5:$A$84,A289)&gt;0,"Feriado",IF(WEEKDAY(A289,2)&gt;5,"Fim de semana","Dia útil")))</f>
        <v>Feriado</v>
      </c>
      <c r="D289" s="21"/>
      <c r="E289" s="21"/>
      <c r="F289" s="14"/>
      <c r="G289" s="13"/>
      <c r="H289" s="22">
        <f>IF(AND(ISNUMBER(D289),ISNUMBER(E289)),ROUND(MOD(E289-D289,1)*24-N(F289)/60,2),0)</f>
        <v>0</v>
      </c>
      <c r="I289" s="22">
        <f>IF(C289="Dia útil",'Configurações'!$B$6,0)</f>
        <v>0</v>
      </c>
      <c r="J289" s="22">
        <f>H289+IF(OR(G289="Férias",G289="Atestado médico",G289="Consulta médica",G289="Folga de banco de horas",G289="Viagem a trabalho"),I289,IF(G289="Meio dia de férias",I289/2,0))</f>
        <v>0</v>
      </c>
      <c r="K289" s="23">
        <f>IF(OR(H289&gt;0,G289&lt;&gt;""),J289-I289,0)</f>
        <v>0</v>
      </c>
      <c r="L289" s="13"/>
      <c r="M289" s="20">
        <f>IF(A289="","",MONTH(A289))</f>
        <v>10</v>
      </c>
    </row>
    <row r="290" spans="1:13" x14ac:dyDescent="0.25">
      <c r="A290" s="18">
        <f>IF(YEAR(DATE('Configurações'!$B$5,1,1)+285)='Configurações'!$B$5,DATE('Configurações'!$B$5,1,1)+285,"")</f>
        <v>46673</v>
      </c>
      <c r="B290" s="19">
        <f>A290</f>
        <v>46673</v>
      </c>
      <c r="C290" s="20" t="str">
        <f>IF(A290="","",IF(COUNTIF('Feriados'!$A$5:$A$84,A290)&gt;0,"Feriado",IF(WEEKDAY(A290,2)&gt;5,"Fim de semana","Dia útil")))</f>
        <v>Dia útil</v>
      </c>
      <c r="D290" s="21"/>
      <c r="E290" s="21"/>
      <c r="F290" s="14"/>
      <c r="G290" s="13"/>
      <c r="H290" s="22">
        <f>IF(AND(ISNUMBER(D290),ISNUMBER(E290)),ROUND(MOD(E290-D290,1)*24-N(F290)/60,2),0)</f>
        <v>0</v>
      </c>
      <c r="I290" s="22">
        <f>IF(C290="Dia útil",'Configurações'!$B$6,0)</f>
        <v>8</v>
      </c>
      <c r="J290" s="22">
        <f>H290+IF(OR(G290="Férias",G290="Atestado médico",G290="Consulta médica",G290="Folga de banco de horas",G290="Viagem a trabalho"),I290,IF(G290="Meio dia de férias",I290/2,0))</f>
        <v>0</v>
      </c>
      <c r="K290" s="23">
        <f>IF(OR(H290&gt;0,G290&lt;&gt;""),J290-I290,0)</f>
        <v>0</v>
      </c>
      <c r="L290" s="13"/>
      <c r="M290" s="20">
        <f>IF(A290="","",MONTH(A290))</f>
        <v>10</v>
      </c>
    </row>
    <row r="291" spans="1:13" x14ac:dyDescent="0.25">
      <c r="A291" s="18">
        <f>IF(YEAR(DATE('Configurações'!$B$5,1,1)+286)='Configurações'!$B$5,DATE('Configurações'!$B$5,1,1)+286,"")</f>
        <v>46674</v>
      </c>
      <c r="B291" s="19">
        <f>A291</f>
        <v>46674</v>
      </c>
      <c r="C291" s="20" t="str">
        <f>IF(A291="","",IF(COUNTIF('Feriados'!$A$5:$A$84,A291)&gt;0,"Feriado",IF(WEEKDAY(A291,2)&gt;5,"Fim de semana","Dia útil")))</f>
        <v>Dia útil</v>
      </c>
      <c r="D291" s="21"/>
      <c r="E291" s="21"/>
      <c r="F291" s="14"/>
      <c r="G291" s="13"/>
      <c r="H291" s="22">
        <f>IF(AND(ISNUMBER(D291),ISNUMBER(E291)),ROUND(MOD(E291-D291,1)*24-N(F291)/60,2),0)</f>
        <v>0</v>
      </c>
      <c r="I291" s="22">
        <f>IF(C291="Dia útil",'Configurações'!$B$6,0)</f>
        <v>8</v>
      </c>
      <c r="J291" s="22">
        <f>H291+IF(OR(G291="Férias",G291="Atestado médico",G291="Consulta médica",G291="Folga de banco de horas",G291="Viagem a trabalho"),I291,IF(G291="Meio dia de férias",I291/2,0))</f>
        <v>0</v>
      </c>
      <c r="K291" s="23">
        <f>IF(OR(H291&gt;0,G291&lt;&gt;""),J291-I291,0)</f>
        <v>0</v>
      </c>
      <c r="L291" s="13"/>
      <c r="M291" s="20">
        <f>IF(A291="","",MONTH(A291))</f>
        <v>10</v>
      </c>
    </row>
    <row r="292" spans="1:13" x14ac:dyDescent="0.25">
      <c r="A292" s="18">
        <f>IF(YEAR(DATE('Configurações'!$B$5,1,1)+287)='Configurações'!$B$5,DATE('Configurações'!$B$5,1,1)+287,"")</f>
        <v>46675</v>
      </c>
      <c r="B292" s="19">
        <f>A292</f>
        <v>46675</v>
      </c>
      <c r="C292" s="20" t="str">
        <f>IF(A292="","",IF(COUNTIF('Feriados'!$A$5:$A$84,A292)&gt;0,"Feriado",IF(WEEKDAY(A292,2)&gt;5,"Fim de semana","Dia útil")))</f>
        <v>Dia útil</v>
      </c>
      <c r="D292" s="21"/>
      <c r="E292" s="21"/>
      <c r="F292" s="14"/>
      <c r="G292" s="13"/>
      <c r="H292" s="22">
        <f>IF(AND(ISNUMBER(D292),ISNUMBER(E292)),ROUND(MOD(E292-D292,1)*24-N(F292)/60,2),0)</f>
        <v>0</v>
      </c>
      <c r="I292" s="22">
        <f>IF(C292="Dia útil",'Configurações'!$B$6,0)</f>
        <v>8</v>
      </c>
      <c r="J292" s="22">
        <f>H292+IF(OR(G292="Férias",G292="Atestado médico",G292="Consulta médica",G292="Folga de banco de horas",G292="Viagem a trabalho"),I292,IF(G292="Meio dia de férias",I292/2,0))</f>
        <v>0</v>
      </c>
      <c r="K292" s="23">
        <f>IF(OR(H292&gt;0,G292&lt;&gt;""),J292-I292,0)</f>
        <v>0</v>
      </c>
      <c r="L292" s="13"/>
      <c r="M292" s="20">
        <f>IF(A292="","",MONTH(A292))</f>
        <v>10</v>
      </c>
    </row>
    <row r="293" spans="1:13" x14ac:dyDescent="0.25">
      <c r="A293" s="18">
        <f>IF(YEAR(DATE('Configurações'!$B$5,1,1)+288)='Configurações'!$B$5,DATE('Configurações'!$B$5,1,1)+288,"")</f>
        <v>46676</v>
      </c>
      <c r="B293" s="19">
        <f>A293</f>
        <v>46676</v>
      </c>
      <c r="C293" s="20" t="str">
        <f>IF(A293="","",IF(COUNTIF('Feriados'!$A$5:$A$84,A293)&gt;0,"Feriado",IF(WEEKDAY(A293,2)&gt;5,"Fim de semana","Dia útil")))</f>
        <v>Fim de semana</v>
      </c>
      <c r="D293" s="21"/>
      <c r="E293" s="21"/>
      <c r="F293" s="14"/>
      <c r="G293" s="13"/>
      <c r="H293" s="22">
        <f>IF(AND(ISNUMBER(D293),ISNUMBER(E293)),ROUND(MOD(E293-D293,1)*24-N(F293)/60,2),0)</f>
        <v>0</v>
      </c>
      <c r="I293" s="22">
        <f>IF(C293="Dia útil",'Configurações'!$B$6,0)</f>
        <v>0</v>
      </c>
      <c r="J293" s="22">
        <f>H293+IF(OR(G293="Férias",G293="Atestado médico",G293="Consulta médica",G293="Folga de banco de horas",G293="Viagem a trabalho"),I293,IF(G293="Meio dia de férias",I293/2,0))</f>
        <v>0</v>
      </c>
      <c r="K293" s="23">
        <f>IF(OR(H293&gt;0,G293&lt;&gt;""),J293-I293,0)</f>
        <v>0</v>
      </c>
      <c r="L293" s="13"/>
      <c r="M293" s="20">
        <f>IF(A293="","",MONTH(A293))</f>
        <v>10</v>
      </c>
    </row>
    <row r="294" spans="1:13" x14ac:dyDescent="0.25">
      <c r="A294" s="18">
        <f>IF(YEAR(DATE('Configurações'!$B$5,1,1)+289)='Configurações'!$B$5,DATE('Configurações'!$B$5,1,1)+289,"")</f>
        <v>46677</v>
      </c>
      <c r="B294" s="19">
        <f>A294</f>
        <v>46677</v>
      </c>
      <c r="C294" s="20" t="str">
        <f>IF(A294="","",IF(COUNTIF('Feriados'!$A$5:$A$84,A294)&gt;0,"Feriado",IF(WEEKDAY(A294,2)&gt;5,"Fim de semana","Dia útil")))</f>
        <v>Fim de semana</v>
      </c>
      <c r="D294" s="21"/>
      <c r="E294" s="21"/>
      <c r="F294" s="14"/>
      <c r="G294" s="13"/>
      <c r="H294" s="22">
        <f>IF(AND(ISNUMBER(D294),ISNUMBER(E294)),ROUND(MOD(E294-D294,1)*24-N(F294)/60,2),0)</f>
        <v>0</v>
      </c>
      <c r="I294" s="22">
        <f>IF(C294="Dia útil",'Configurações'!$B$6,0)</f>
        <v>0</v>
      </c>
      <c r="J294" s="22">
        <f>H294+IF(OR(G294="Férias",G294="Atestado médico",G294="Consulta médica",G294="Folga de banco de horas",G294="Viagem a trabalho"),I294,IF(G294="Meio dia de férias",I294/2,0))</f>
        <v>0</v>
      </c>
      <c r="K294" s="23">
        <f>IF(OR(H294&gt;0,G294&lt;&gt;""),J294-I294,0)</f>
        <v>0</v>
      </c>
      <c r="L294" s="13"/>
      <c r="M294" s="20">
        <f>IF(A294="","",MONTH(A294))</f>
        <v>10</v>
      </c>
    </row>
    <row r="295" spans="1:13" x14ac:dyDescent="0.25">
      <c r="A295" s="18">
        <f>IF(YEAR(DATE('Configurações'!$B$5,1,1)+290)='Configurações'!$B$5,DATE('Configurações'!$B$5,1,1)+290,"")</f>
        <v>46678</v>
      </c>
      <c r="B295" s="19">
        <f>A295</f>
        <v>46678</v>
      </c>
      <c r="C295" s="20" t="str">
        <f>IF(A295="","",IF(COUNTIF('Feriados'!$A$5:$A$84,A295)&gt;0,"Feriado",IF(WEEKDAY(A295,2)&gt;5,"Fim de semana","Dia útil")))</f>
        <v>Dia útil</v>
      </c>
      <c r="D295" s="21"/>
      <c r="E295" s="21"/>
      <c r="F295" s="14"/>
      <c r="G295" s="13"/>
      <c r="H295" s="22">
        <f>IF(AND(ISNUMBER(D295),ISNUMBER(E295)),ROUND(MOD(E295-D295,1)*24-N(F295)/60,2),0)</f>
        <v>0</v>
      </c>
      <c r="I295" s="22">
        <f>IF(C295="Dia útil",'Configurações'!$B$6,0)</f>
        <v>8</v>
      </c>
      <c r="J295" s="22">
        <f>H295+IF(OR(G295="Férias",G295="Atestado médico",G295="Consulta médica",G295="Folga de banco de horas",G295="Viagem a trabalho"),I295,IF(G295="Meio dia de férias",I295/2,0))</f>
        <v>0</v>
      </c>
      <c r="K295" s="23">
        <f>IF(OR(H295&gt;0,G295&lt;&gt;""),J295-I295,0)</f>
        <v>0</v>
      </c>
      <c r="L295" s="13"/>
      <c r="M295" s="20">
        <f>IF(A295="","",MONTH(A295))</f>
        <v>10</v>
      </c>
    </row>
    <row r="296" spans="1:13" x14ac:dyDescent="0.25">
      <c r="A296" s="18">
        <f>IF(YEAR(DATE('Configurações'!$B$5,1,1)+291)='Configurações'!$B$5,DATE('Configurações'!$B$5,1,1)+291,"")</f>
        <v>46679</v>
      </c>
      <c r="B296" s="19">
        <f>A296</f>
        <v>46679</v>
      </c>
      <c r="C296" s="20" t="str">
        <f>IF(A296="","",IF(COUNTIF('Feriados'!$A$5:$A$84,A296)&gt;0,"Feriado",IF(WEEKDAY(A296,2)&gt;5,"Fim de semana","Dia útil")))</f>
        <v>Dia útil</v>
      </c>
      <c r="D296" s="21"/>
      <c r="E296" s="21"/>
      <c r="F296" s="14"/>
      <c r="G296" s="13"/>
      <c r="H296" s="22">
        <f>IF(AND(ISNUMBER(D296),ISNUMBER(E296)),ROUND(MOD(E296-D296,1)*24-N(F296)/60,2),0)</f>
        <v>0</v>
      </c>
      <c r="I296" s="22">
        <f>IF(C296="Dia útil",'Configurações'!$B$6,0)</f>
        <v>8</v>
      </c>
      <c r="J296" s="22">
        <f>H296+IF(OR(G296="Férias",G296="Atestado médico",G296="Consulta médica",G296="Folga de banco de horas",G296="Viagem a trabalho"),I296,IF(G296="Meio dia de férias",I296/2,0))</f>
        <v>0</v>
      </c>
      <c r="K296" s="23">
        <f>IF(OR(H296&gt;0,G296&lt;&gt;""),J296-I296,0)</f>
        <v>0</v>
      </c>
      <c r="L296" s="13"/>
      <c r="M296" s="20">
        <f>IF(A296="","",MONTH(A296))</f>
        <v>10</v>
      </c>
    </row>
    <row r="297" spans="1:13" x14ac:dyDescent="0.25">
      <c r="A297" s="18">
        <f>IF(YEAR(DATE('Configurações'!$B$5,1,1)+292)='Configurações'!$B$5,DATE('Configurações'!$B$5,1,1)+292,"")</f>
        <v>46680</v>
      </c>
      <c r="B297" s="19">
        <f>A297</f>
        <v>46680</v>
      </c>
      <c r="C297" s="20" t="str">
        <f>IF(A297="","",IF(COUNTIF('Feriados'!$A$5:$A$84,A297)&gt;0,"Feriado",IF(WEEKDAY(A297,2)&gt;5,"Fim de semana","Dia útil")))</f>
        <v>Dia útil</v>
      </c>
      <c r="D297" s="21"/>
      <c r="E297" s="21"/>
      <c r="F297" s="14"/>
      <c r="G297" s="13"/>
      <c r="H297" s="22">
        <f>IF(AND(ISNUMBER(D297),ISNUMBER(E297)),ROUND(MOD(E297-D297,1)*24-N(F297)/60,2),0)</f>
        <v>0</v>
      </c>
      <c r="I297" s="22">
        <f>IF(C297="Dia útil",'Configurações'!$B$6,0)</f>
        <v>8</v>
      </c>
      <c r="J297" s="22">
        <f>H297+IF(OR(G297="Férias",G297="Atestado médico",G297="Consulta médica",G297="Folga de banco de horas",G297="Viagem a trabalho"),I297,IF(G297="Meio dia de férias",I297/2,0))</f>
        <v>0</v>
      </c>
      <c r="K297" s="23">
        <f>IF(OR(H297&gt;0,G297&lt;&gt;""),J297-I297,0)</f>
        <v>0</v>
      </c>
      <c r="L297" s="13"/>
      <c r="M297" s="20">
        <f>IF(A297="","",MONTH(A297))</f>
        <v>10</v>
      </c>
    </row>
    <row r="298" spans="1:13" x14ac:dyDescent="0.25">
      <c r="A298" s="18">
        <f>IF(YEAR(DATE('Configurações'!$B$5,1,1)+293)='Configurações'!$B$5,DATE('Configurações'!$B$5,1,1)+293,"")</f>
        <v>46681</v>
      </c>
      <c r="B298" s="19">
        <f>A298</f>
        <v>46681</v>
      </c>
      <c r="C298" s="20" t="str">
        <f>IF(A298="","",IF(COUNTIF('Feriados'!$A$5:$A$84,A298)&gt;0,"Feriado",IF(WEEKDAY(A298,2)&gt;5,"Fim de semana","Dia útil")))</f>
        <v>Dia útil</v>
      </c>
      <c r="D298" s="21"/>
      <c r="E298" s="21"/>
      <c r="F298" s="14"/>
      <c r="G298" s="13"/>
      <c r="H298" s="22">
        <f>IF(AND(ISNUMBER(D298),ISNUMBER(E298)),ROUND(MOD(E298-D298,1)*24-N(F298)/60,2),0)</f>
        <v>0</v>
      </c>
      <c r="I298" s="22">
        <f>IF(C298="Dia útil",'Configurações'!$B$6,0)</f>
        <v>8</v>
      </c>
      <c r="J298" s="22">
        <f>H298+IF(OR(G298="Férias",G298="Atestado médico",G298="Consulta médica",G298="Folga de banco de horas",G298="Viagem a trabalho"),I298,IF(G298="Meio dia de férias",I298/2,0))</f>
        <v>0</v>
      </c>
      <c r="K298" s="23">
        <f>IF(OR(H298&gt;0,G298&lt;&gt;""),J298-I298,0)</f>
        <v>0</v>
      </c>
      <c r="L298" s="13"/>
      <c r="M298" s="20">
        <f>IF(A298="","",MONTH(A298))</f>
        <v>10</v>
      </c>
    </row>
    <row r="299" spans="1:13" x14ac:dyDescent="0.25">
      <c r="A299" s="18">
        <f>IF(YEAR(DATE('Configurações'!$B$5,1,1)+294)='Configurações'!$B$5,DATE('Configurações'!$B$5,1,1)+294,"")</f>
        <v>46682</v>
      </c>
      <c r="B299" s="19">
        <f>A299</f>
        <v>46682</v>
      </c>
      <c r="C299" s="20" t="str">
        <f>IF(A299="","",IF(COUNTIF('Feriados'!$A$5:$A$84,A299)&gt;0,"Feriado",IF(WEEKDAY(A299,2)&gt;5,"Fim de semana","Dia útil")))</f>
        <v>Dia útil</v>
      </c>
      <c r="D299" s="21"/>
      <c r="E299" s="21"/>
      <c r="F299" s="14"/>
      <c r="G299" s="13"/>
      <c r="H299" s="22">
        <f>IF(AND(ISNUMBER(D299),ISNUMBER(E299)),ROUND(MOD(E299-D299,1)*24-N(F299)/60,2),0)</f>
        <v>0</v>
      </c>
      <c r="I299" s="22">
        <f>IF(C299="Dia útil",'Configurações'!$B$6,0)</f>
        <v>8</v>
      </c>
      <c r="J299" s="22">
        <f>H299+IF(OR(G299="Férias",G299="Atestado médico",G299="Consulta médica",G299="Folga de banco de horas",G299="Viagem a trabalho"),I299,IF(G299="Meio dia de férias",I299/2,0))</f>
        <v>0</v>
      </c>
      <c r="K299" s="23">
        <f>IF(OR(H299&gt;0,G299&lt;&gt;""),J299-I299,0)</f>
        <v>0</v>
      </c>
      <c r="L299" s="13"/>
      <c r="M299" s="20">
        <f>IF(A299="","",MONTH(A299))</f>
        <v>10</v>
      </c>
    </row>
    <row r="300" spans="1:13" x14ac:dyDescent="0.25">
      <c r="A300" s="18">
        <f>IF(YEAR(DATE('Configurações'!$B$5,1,1)+295)='Configurações'!$B$5,DATE('Configurações'!$B$5,1,1)+295,"")</f>
        <v>46683</v>
      </c>
      <c r="B300" s="19">
        <f>A300</f>
        <v>46683</v>
      </c>
      <c r="C300" s="20" t="str">
        <f>IF(A300="","",IF(COUNTIF('Feriados'!$A$5:$A$84,A300)&gt;0,"Feriado",IF(WEEKDAY(A300,2)&gt;5,"Fim de semana","Dia útil")))</f>
        <v>Fim de semana</v>
      </c>
      <c r="D300" s="21"/>
      <c r="E300" s="21"/>
      <c r="F300" s="14"/>
      <c r="G300" s="13"/>
      <c r="H300" s="22">
        <f>IF(AND(ISNUMBER(D300),ISNUMBER(E300)),ROUND(MOD(E300-D300,1)*24-N(F300)/60,2),0)</f>
        <v>0</v>
      </c>
      <c r="I300" s="22">
        <f>IF(C300="Dia útil",'Configurações'!$B$6,0)</f>
        <v>0</v>
      </c>
      <c r="J300" s="22">
        <f>H300+IF(OR(G300="Férias",G300="Atestado médico",G300="Consulta médica",G300="Folga de banco de horas",G300="Viagem a trabalho"),I300,IF(G300="Meio dia de férias",I300/2,0))</f>
        <v>0</v>
      </c>
      <c r="K300" s="23">
        <f>IF(OR(H300&gt;0,G300&lt;&gt;""),J300-I300,0)</f>
        <v>0</v>
      </c>
      <c r="L300" s="13"/>
      <c r="M300" s="20">
        <f>IF(A300="","",MONTH(A300))</f>
        <v>10</v>
      </c>
    </row>
    <row r="301" spans="1:13" x14ac:dyDescent="0.25">
      <c r="A301" s="18">
        <f>IF(YEAR(DATE('Configurações'!$B$5,1,1)+296)='Configurações'!$B$5,DATE('Configurações'!$B$5,1,1)+296,"")</f>
        <v>46684</v>
      </c>
      <c r="B301" s="19">
        <f>A301</f>
        <v>46684</v>
      </c>
      <c r="C301" s="20" t="str">
        <f>IF(A301="","",IF(COUNTIF('Feriados'!$A$5:$A$84,A301)&gt;0,"Feriado",IF(WEEKDAY(A301,2)&gt;5,"Fim de semana","Dia útil")))</f>
        <v>Fim de semana</v>
      </c>
      <c r="D301" s="21"/>
      <c r="E301" s="21"/>
      <c r="F301" s="14"/>
      <c r="G301" s="13"/>
      <c r="H301" s="22">
        <f>IF(AND(ISNUMBER(D301),ISNUMBER(E301)),ROUND(MOD(E301-D301,1)*24-N(F301)/60,2),0)</f>
        <v>0</v>
      </c>
      <c r="I301" s="22">
        <f>IF(C301="Dia útil",'Configurações'!$B$6,0)</f>
        <v>0</v>
      </c>
      <c r="J301" s="22">
        <f>H301+IF(OR(G301="Férias",G301="Atestado médico",G301="Consulta médica",G301="Folga de banco de horas",G301="Viagem a trabalho"),I301,IF(G301="Meio dia de férias",I301/2,0))</f>
        <v>0</v>
      </c>
      <c r="K301" s="23">
        <f>IF(OR(H301&gt;0,G301&lt;&gt;""),J301-I301,0)</f>
        <v>0</v>
      </c>
      <c r="L301" s="13"/>
      <c r="M301" s="20">
        <f>IF(A301="","",MONTH(A301))</f>
        <v>10</v>
      </c>
    </row>
    <row r="302" spans="1:13" x14ac:dyDescent="0.25">
      <c r="A302" s="18">
        <f>IF(YEAR(DATE('Configurações'!$B$5,1,1)+297)='Configurações'!$B$5,DATE('Configurações'!$B$5,1,1)+297,"")</f>
        <v>46685</v>
      </c>
      <c r="B302" s="19">
        <f>A302</f>
        <v>46685</v>
      </c>
      <c r="C302" s="20" t="str">
        <f>IF(A302="","",IF(COUNTIF('Feriados'!$A$5:$A$84,A302)&gt;0,"Feriado",IF(WEEKDAY(A302,2)&gt;5,"Fim de semana","Dia útil")))</f>
        <v>Dia útil</v>
      </c>
      <c r="D302" s="21"/>
      <c r="E302" s="21"/>
      <c r="F302" s="14"/>
      <c r="G302" s="13"/>
      <c r="H302" s="22">
        <f>IF(AND(ISNUMBER(D302),ISNUMBER(E302)),ROUND(MOD(E302-D302,1)*24-N(F302)/60,2),0)</f>
        <v>0</v>
      </c>
      <c r="I302" s="22">
        <f>IF(C302="Dia útil",'Configurações'!$B$6,0)</f>
        <v>8</v>
      </c>
      <c r="J302" s="22">
        <f>H302+IF(OR(G302="Férias",G302="Atestado médico",G302="Consulta médica",G302="Folga de banco de horas",G302="Viagem a trabalho"),I302,IF(G302="Meio dia de férias",I302/2,0))</f>
        <v>0</v>
      </c>
      <c r="K302" s="23">
        <f>IF(OR(H302&gt;0,G302&lt;&gt;""),J302-I302,0)</f>
        <v>0</v>
      </c>
      <c r="L302" s="13"/>
      <c r="M302" s="20">
        <f>IF(A302="","",MONTH(A302))</f>
        <v>10</v>
      </c>
    </row>
    <row r="303" spans="1:13" x14ac:dyDescent="0.25">
      <c r="A303" s="18">
        <f>IF(YEAR(DATE('Configurações'!$B$5,1,1)+298)='Configurações'!$B$5,DATE('Configurações'!$B$5,1,1)+298,"")</f>
        <v>46686</v>
      </c>
      <c r="B303" s="19">
        <f>A303</f>
        <v>46686</v>
      </c>
      <c r="C303" s="20" t="str">
        <f>IF(A303="","",IF(COUNTIF('Feriados'!$A$5:$A$84,A303)&gt;0,"Feriado",IF(WEEKDAY(A303,2)&gt;5,"Fim de semana","Dia útil")))</f>
        <v>Dia útil</v>
      </c>
      <c r="D303" s="21"/>
      <c r="E303" s="21"/>
      <c r="F303" s="14"/>
      <c r="G303" s="13"/>
      <c r="H303" s="22">
        <f>IF(AND(ISNUMBER(D303),ISNUMBER(E303)),ROUND(MOD(E303-D303,1)*24-N(F303)/60,2),0)</f>
        <v>0</v>
      </c>
      <c r="I303" s="22">
        <f>IF(C303="Dia útil",'Configurações'!$B$6,0)</f>
        <v>8</v>
      </c>
      <c r="J303" s="22">
        <f>H303+IF(OR(G303="Férias",G303="Atestado médico",G303="Consulta médica",G303="Folga de banco de horas",G303="Viagem a trabalho"),I303,IF(G303="Meio dia de férias",I303/2,0))</f>
        <v>0</v>
      </c>
      <c r="K303" s="23">
        <f>IF(OR(H303&gt;0,G303&lt;&gt;""),J303-I303,0)</f>
        <v>0</v>
      </c>
      <c r="L303" s="13"/>
      <c r="M303" s="20">
        <f>IF(A303="","",MONTH(A303))</f>
        <v>10</v>
      </c>
    </row>
    <row r="304" spans="1:13" x14ac:dyDescent="0.25">
      <c r="A304" s="18">
        <f>IF(YEAR(DATE('Configurações'!$B$5,1,1)+299)='Configurações'!$B$5,DATE('Configurações'!$B$5,1,1)+299,"")</f>
        <v>46687</v>
      </c>
      <c r="B304" s="19">
        <f>A304</f>
        <v>46687</v>
      </c>
      <c r="C304" s="20" t="str">
        <f>IF(A304="","",IF(COUNTIF('Feriados'!$A$5:$A$84,A304)&gt;0,"Feriado",IF(WEEKDAY(A304,2)&gt;5,"Fim de semana","Dia útil")))</f>
        <v>Dia útil</v>
      </c>
      <c r="D304" s="21"/>
      <c r="E304" s="21"/>
      <c r="F304" s="14"/>
      <c r="G304" s="13"/>
      <c r="H304" s="22">
        <f>IF(AND(ISNUMBER(D304),ISNUMBER(E304)),ROUND(MOD(E304-D304,1)*24-N(F304)/60,2),0)</f>
        <v>0</v>
      </c>
      <c r="I304" s="22">
        <f>IF(C304="Dia útil",'Configurações'!$B$6,0)</f>
        <v>8</v>
      </c>
      <c r="J304" s="22">
        <f>H304+IF(OR(G304="Férias",G304="Atestado médico",G304="Consulta médica",G304="Folga de banco de horas",G304="Viagem a trabalho"),I304,IF(G304="Meio dia de férias",I304/2,0))</f>
        <v>0</v>
      </c>
      <c r="K304" s="23">
        <f>IF(OR(H304&gt;0,G304&lt;&gt;""),J304-I304,0)</f>
        <v>0</v>
      </c>
      <c r="L304" s="13"/>
      <c r="M304" s="20">
        <f>IF(A304="","",MONTH(A304))</f>
        <v>10</v>
      </c>
    </row>
    <row r="305" spans="1:13" x14ac:dyDescent="0.25">
      <c r="A305" s="18">
        <f>IF(YEAR(DATE('Configurações'!$B$5,1,1)+300)='Configurações'!$B$5,DATE('Configurações'!$B$5,1,1)+300,"")</f>
        <v>46688</v>
      </c>
      <c r="B305" s="19">
        <f>A305</f>
        <v>46688</v>
      </c>
      <c r="C305" s="20" t="str">
        <f>IF(A305="","",IF(COUNTIF('Feriados'!$A$5:$A$84,A305)&gt;0,"Feriado",IF(WEEKDAY(A305,2)&gt;5,"Fim de semana","Dia útil")))</f>
        <v>Dia útil</v>
      </c>
      <c r="D305" s="21"/>
      <c r="E305" s="21"/>
      <c r="F305" s="14"/>
      <c r="G305" s="13"/>
      <c r="H305" s="22">
        <f>IF(AND(ISNUMBER(D305),ISNUMBER(E305)),ROUND(MOD(E305-D305,1)*24-N(F305)/60,2),0)</f>
        <v>0</v>
      </c>
      <c r="I305" s="22">
        <f>IF(C305="Dia útil",'Configurações'!$B$6,0)</f>
        <v>8</v>
      </c>
      <c r="J305" s="22">
        <f>H305+IF(OR(G305="Férias",G305="Atestado médico",G305="Consulta médica",G305="Folga de banco de horas",G305="Viagem a trabalho"),I305,IF(G305="Meio dia de férias",I305/2,0))</f>
        <v>0</v>
      </c>
      <c r="K305" s="23">
        <f>IF(OR(H305&gt;0,G305&lt;&gt;""),J305-I305,0)</f>
        <v>0</v>
      </c>
      <c r="L305" s="13"/>
      <c r="M305" s="20">
        <f>IF(A305="","",MONTH(A305))</f>
        <v>10</v>
      </c>
    </row>
    <row r="306" spans="1:13" x14ac:dyDescent="0.25">
      <c r="A306" s="18">
        <f>IF(YEAR(DATE('Configurações'!$B$5,1,1)+301)='Configurações'!$B$5,DATE('Configurações'!$B$5,1,1)+301,"")</f>
        <v>46689</v>
      </c>
      <c r="B306" s="19">
        <f>A306</f>
        <v>46689</v>
      </c>
      <c r="C306" s="20" t="str">
        <f>IF(A306="","",IF(COUNTIF('Feriados'!$A$5:$A$84,A306)&gt;0,"Feriado",IF(WEEKDAY(A306,2)&gt;5,"Fim de semana","Dia útil")))</f>
        <v>Dia útil</v>
      </c>
      <c r="D306" s="21"/>
      <c r="E306" s="21"/>
      <c r="F306" s="14"/>
      <c r="G306" s="13"/>
      <c r="H306" s="22">
        <f>IF(AND(ISNUMBER(D306),ISNUMBER(E306)),ROUND(MOD(E306-D306,1)*24-N(F306)/60,2),0)</f>
        <v>0</v>
      </c>
      <c r="I306" s="22">
        <f>IF(C306="Dia útil",'Configurações'!$B$6,0)</f>
        <v>8</v>
      </c>
      <c r="J306" s="22">
        <f>H306+IF(OR(G306="Férias",G306="Atestado médico",G306="Consulta médica",G306="Folga de banco de horas",G306="Viagem a trabalho"),I306,IF(G306="Meio dia de férias",I306/2,0))</f>
        <v>0</v>
      </c>
      <c r="K306" s="23">
        <f>IF(OR(H306&gt;0,G306&lt;&gt;""),J306-I306,0)</f>
        <v>0</v>
      </c>
      <c r="L306" s="13"/>
      <c r="M306" s="20">
        <f>IF(A306="","",MONTH(A306))</f>
        <v>10</v>
      </c>
    </row>
    <row r="307" spans="1:13" x14ac:dyDescent="0.25">
      <c r="A307" s="18">
        <f>IF(YEAR(DATE('Configurações'!$B$5,1,1)+302)='Configurações'!$B$5,DATE('Configurações'!$B$5,1,1)+302,"")</f>
        <v>46690</v>
      </c>
      <c r="B307" s="19">
        <f>A307</f>
        <v>46690</v>
      </c>
      <c r="C307" s="20" t="str">
        <f>IF(A307="","",IF(COUNTIF('Feriados'!$A$5:$A$84,A307)&gt;0,"Feriado",IF(WEEKDAY(A307,2)&gt;5,"Fim de semana","Dia útil")))</f>
        <v>Fim de semana</v>
      </c>
      <c r="D307" s="21"/>
      <c r="E307" s="21"/>
      <c r="F307" s="14"/>
      <c r="G307" s="13"/>
      <c r="H307" s="22">
        <f>IF(AND(ISNUMBER(D307),ISNUMBER(E307)),ROUND(MOD(E307-D307,1)*24-N(F307)/60,2),0)</f>
        <v>0</v>
      </c>
      <c r="I307" s="22">
        <f>IF(C307="Dia útil",'Configurações'!$B$6,0)</f>
        <v>0</v>
      </c>
      <c r="J307" s="22">
        <f>H307+IF(OR(G307="Férias",G307="Atestado médico",G307="Consulta médica",G307="Folga de banco de horas",G307="Viagem a trabalho"),I307,IF(G307="Meio dia de férias",I307/2,0))</f>
        <v>0</v>
      </c>
      <c r="K307" s="23">
        <f>IF(OR(H307&gt;0,G307&lt;&gt;""),J307-I307,0)</f>
        <v>0</v>
      </c>
      <c r="L307" s="13"/>
      <c r="M307" s="20">
        <f>IF(A307="","",MONTH(A307))</f>
        <v>10</v>
      </c>
    </row>
    <row r="308" spans="1:13" x14ac:dyDescent="0.25">
      <c r="A308" s="18">
        <f>IF(YEAR(DATE('Configurações'!$B$5,1,1)+303)='Configurações'!$B$5,DATE('Configurações'!$B$5,1,1)+303,"")</f>
        <v>46691</v>
      </c>
      <c r="B308" s="19">
        <f>A308</f>
        <v>46691</v>
      </c>
      <c r="C308" s="20" t="str">
        <f>IF(A308="","",IF(COUNTIF('Feriados'!$A$5:$A$84,A308)&gt;0,"Feriado",IF(WEEKDAY(A308,2)&gt;5,"Fim de semana","Dia útil")))</f>
        <v>Fim de semana</v>
      </c>
      <c r="D308" s="21"/>
      <c r="E308" s="21"/>
      <c r="F308" s="14"/>
      <c r="G308" s="13"/>
      <c r="H308" s="22">
        <f>IF(AND(ISNUMBER(D308),ISNUMBER(E308)),ROUND(MOD(E308-D308,1)*24-N(F308)/60,2),0)</f>
        <v>0</v>
      </c>
      <c r="I308" s="22">
        <f>IF(C308="Dia útil",'Configurações'!$B$6,0)</f>
        <v>0</v>
      </c>
      <c r="J308" s="22">
        <f>H308+IF(OR(G308="Férias",G308="Atestado médico",G308="Consulta médica",G308="Folga de banco de horas",G308="Viagem a trabalho"),I308,IF(G308="Meio dia de férias",I308/2,0))</f>
        <v>0</v>
      </c>
      <c r="K308" s="23">
        <f>IF(OR(H308&gt;0,G308&lt;&gt;""),J308-I308,0)</f>
        <v>0</v>
      </c>
      <c r="L308" s="13"/>
      <c r="M308" s="20">
        <f>IF(A308="","",MONTH(A308))</f>
        <v>10</v>
      </c>
    </row>
    <row r="309" spans="1:13" x14ac:dyDescent="0.25">
      <c r="A309" s="18">
        <f>IF(YEAR(DATE('Configurações'!$B$5,1,1)+304)='Configurações'!$B$5,DATE('Configurações'!$B$5,1,1)+304,"")</f>
        <v>46692</v>
      </c>
      <c r="B309" s="19">
        <f>A309</f>
        <v>46692</v>
      </c>
      <c r="C309" s="20" t="str">
        <f>IF(A309="","",IF(COUNTIF('Feriados'!$A$5:$A$84,A309)&gt;0,"Feriado",IF(WEEKDAY(A309,2)&gt;5,"Fim de semana","Dia útil")))</f>
        <v>Dia útil</v>
      </c>
      <c r="D309" s="21"/>
      <c r="E309" s="21"/>
      <c r="F309" s="14"/>
      <c r="G309" s="13"/>
      <c r="H309" s="22">
        <f>IF(AND(ISNUMBER(D309),ISNUMBER(E309)),ROUND(MOD(E309-D309,1)*24-N(F309)/60,2),0)</f>
        <v>0</v>
      </c>
      <c r="I309" s="22">
        <f>IF(C309="Dia útil",'Configurações'!$B$6,0)</f>
        <v>8</v>
      </c>
      <c r="J309" s="22">
        <f>H309+IF(OR(G309="Férias",G309="Atestado médico",G309="Consulta médica",G309="Folga de banco de horas",G309="Viagem a trabalho"),I309,IF(G309="Meio dia de férias",I309/2,0))</f>
        <v>0</v>
      </c>
      <c r="K309" s="23">
        <f>IF(OR(H309&gt;0,G309&lt;&gt;""),J309-I309,0)</f>
        <v>0</v>
      </c>
      <c r="L309" s="13"/>
      <c r="M309" s="20">
        <f>IF(A309="","",MONTH(A309))</f>
        <v>11</v>
      </c>
    </row>
    <row r="310" spans="1:13" x14ac:dyDescent="0.25">
      <c r="A310" s="18">
        <f>IF(YEAR(DATE('Configurações'!$B$5,1,1)+305)='Configurações'!$B$5,DATE('Configurações'!$B$5,1,1)+305,"")</f>
        <v>46693</v>
      </c>
      <c r="B310" s="19">
        <f>A310</f>
        <v>46693</v>
      </c>
      <c r="C310" s="20" t="str">
        <f>IF(A310="","",IF(COUNTIF('Feriados'!$A$5:$A$84,A310)&gt;0,"Feriado",IF(WEEKDAY(A310,2)&gt;5,"Fim de semana","Dia útil")))</f>
        <v>Feriado</v>
      </c>
      <c r="D310" s="21"/>
      <c r="E310" s="21"/>
      <c r="F310" s="14"/>
      <c r="G310" s="13"/>
      <c r="H310" s="22">
        <f>IF(AND(ISNUMBER(D310),ISNUMBER(E310)),ROUND(MOD(E310-D310,1)*24-N(F310)/60,2),0)</f>
        <v>0</v>
      </c>
      <c r="I310" s="22">
        <f>IF(C310="Dia útil",'Configurações'!$B$6,0)</f>
        <v>0</v>
      </c>
      <c r="J310" s="22">
        <f>H310+IF(OR(G310="Férias",G310="Atestado médico",G310="Consulta médica",G310="Folga de banco de horas",G310="Viagem a trabalho"),I310,IF(G310="Meio dia de férias",I310/2,0))</f>
        <v>0</v>
      </c>
      <c r="K310" s="23">
        <f>IF(OR(H310&gt;0,G310&lt;&gt;""),J310-I310,0)</f>
        <v>0</v>
      </c>
      <c r="L310" s="13"/>
      <c r="M310" s="20">
        <f>IF(A310="","",MONTH(A310))</f>
        <v>11</v>
      </c>
    </row>
    <row r="311" spans="1:13" x14ac:dyDescent="0.25">
      <c r="A311" s="18">
        <f>IF(YEAR(DATE('Configurações'!$B$5,1,1)+306)='Configurações'!$B$5,DATE('Configurações'!$B$5,1,1)+306,"")</f>
        <v>46694</v>
      </c>
      <c r="B311" s="19">
        <f>A311</f>
        <v>46694</v>
      </c>
      <c r="C311" s="20" t="str">
        <f>IF(A311="","",IF(COUNTIF('Feriados'!$A$5:$A$84,A311)&gt;0,"Feriado",IF(WEEKDAY(A311,2)&gt;5,"Fim de semana","Dia útil")))</f>
        <v>Dia útil</v>
      </c>
      <c r="D311" s="21"/>
      <c r="E311" s="21"/>
      <c r="F311" s="14"/>
      <c r="G311" s="13"/>
      <c r="H311" s="22">
        <f>IF(AND(ISNUMBER(D311),ISNUMBER(E311)),ROUND(MOD(E311-D311,1)*24-N(F311)/60,2),0)</f>
        <v>0</v>
      </c>
      <c r="I311" s="22">
        <f>IF(C311="Dia útil",'Configurações'!$B$6,0)</f>
        <v>8</v>
      </c>
      <c r="J311" s="22">
        <f>H311+IF(OR(G311="Férias",G311="Atestado médico",G311="Consulta médica",G311="Folga de banco de horas",G311="Viagem a trabalho"),I311,IF(G311="Meio dia de férias",I311/2,0))</f>
        <v>0</v>
      </c>
      <c r="K311" s="23">
        <f>IF(OR(H311&gt;0,G311&lt;&gt;""),J311-I311,0)</f>
        <v>0</v>
      </c>
      <c r="L311" s="13"/>
      <c r="M311" s="20">
        <f>IF(A311="","",MONTH(A311))</f>
        <v>11</v>
      </c>
    </row>
    <row r="312" spans="1:13" x14ac:dyDescent="0.25">
      <c r="A312" s="18">
        <f>IF(YEAR(DATE('Configurações'!$B$5,1,1)+307)='Configurações'!$B$5,DATE('Configurações'!$B$5,1,1)+307,"")</f>
        <v>46695</v>
      </c>
      <c r="B312" s="19">
        <f>A312</f>
        <v>46695</v>
      </c>
      <c r="C312" s="20" t="str">
        <f>IF(A312="","",IF(COUNTIF('Feriados'!$A$5:$A$84,A312)&gt;0,"Feriado",IF(WEEKDAY(A312,2)&gt;5,"Fim de semana","Dia útil")))</f>
        <v>Dia útil</v>
      </c>
      <c r="D312" s="21"/>
      <c r="E312" s="21"/>
      <c r="F312" s="14"/>
      <c r="G312" s="13"/>
      <c r="H312" s="22">
        <f>IF(AND(ISNUMBER(D312),ISNUMBER(E312)),ROUND(MOD(E312-D312,1)*24-N(F312)/60,2),0)</f>
        <v>0</v>
      </c>
      <c r="I312" s="22">
        <f>IF(C312="Dia útil",'Configurações'!$B$6,0)</f>
        <v>8</v>
      </c>
      <c r="J312" s="22">
        <f>H312+IF(OR(G312="Férias",G312="Atestado médico",G312="Consulta médica",G312="Folga de banco de horas",G312="Viagem a trabalho"),I312,IF(G312="Meio dia de férias",I312/2,0))</f>
        <v>0</v>
      </c>
      <c r="K312" s="23">
        <f>IF(OR(H312&gt;0,G312&lt;&gt;""),J312-I312,0)</f>
        <v>0</v>
      </c>
      <c r="L312" s="13"/>
      <c r="M312" s="20">
        <f>IF(A312="","",MONTH(A312))</f>
        <v>11</v>
      </c>
    </row>
    <row r="313" spans="1:13" x14ac:dyDescent="0.25">
      <c r="A313" s="18">
        <f>IF(YEAR(DATE('Configurações'!$B$5,1,1)+308)='Configurações'!$B$5,DATE('Configurações'!$B$5,1,1)+308,"")</f>
        <v>46696</v>
      </c>
      <c r="B313" s="19">
        <f>A313</f>
        <v>46696</v>
      </c>
      <c r="C313" s="20" t="str">
        <f>IF(A313="","",IF(COUNTIF('Feriados'!$A$5:$A$84,A313)&gt;0,"Feriado",IF(WEEKDAY(A313,2)&gt;5,"Fim de semana","Dia útil")))</f>
        <v>Dia útil</v>
      </c>
      <c r="D313" s="21"/>
      <c r="E313" s="21"/>
      <c r="F313" s="14"/>
      <c r="G313" s="13"/>
      <c r="H313" s="22">
        <f>IF(AND(ISNUMBER(D313),ISNUMBER(E313)),ROUND(MOD(E313-D313,1)*24-N(F313)/60,2),0)</f>
        <v>0</v>
      </c>
      <c r="I313" s="22">
        <f>IF(C313="Dia útil",'Configurações'!$B$6,0)</f>
        <v>8</v>
      </c>
      <c r="J313" s="22">
        <f>H313+IF(OR(G313="Férias",G313="Atestado médico",G313="Consulta médica",G313="Folga de banco de horas",G313="Viagem a trabalho"),I313,IF(G313="Meio dia de férias",I313/2,0))</f>
        <v>0</v>
      </c>
      <c r="K313" s="23">
        <f>IF(OR(H313&gt;0,G313&lt;&gt;""),J313-I313,0)</f>
        <v>0</v>
      </c>
      <c r="L313" s="13"/>
      <c r="M313" s="20">
        <f>IF(A313="","",MONTH(A313))</f>
        <v>11</v>
      </c>
    </row>
    <row r="314" spans="1:13" x14ac:dyDescent="0.25">
      <c r="A314" s="18">
        <f>IF(YEAR(DATE('Configurações'!$B$5,1,1)+309)='Configurações'!$B$5,DATE('Configurações'!$B$5,1,1)+309,"")</f>
        <v>46697</v>
      </c>
      <c r="B314" s="19">
        <f>A314</f>
        <v>46697</v>
      </c>
      <c r="C314" s="20" t="str">
        <f>IF(A314="","",IF(COUNTIF('Feriados'!$A$5:$A$84,A314)&gt;0,"Feriado",IF(WEEKDAY(A314,2)&gt;5,"Fim de semana","Dia útil")))</f>
        <v>Fim de semana</v>
      </c>
      <c r="D314" s="21"/>
      <c r="E314" s="21"/>
      <c r="F314" s="14"/>
      <c r="G314" s="13"/>
      <c r="H314" s="22">
        <f>IF(AND(ISNUMBER(D314),ISNUMBER(E314)),ROUND(MOD(E314-D314,1)*24-N(F314)/60,2),0)</f>
        <v>0</v>
      </c>
      <c r="I314" s="22">
        <f>IF(C314="Dia útil",'Configurações'!$B$6,0)</f>
        <v>0</v>
      </c>
      <c r="J314" s="22">
        <f>H314+IF(OR(G314="Férias",G314="Atestado médico",G314="Consulta médica",G314="Folga de banco de horas",G314="Viagem a trabalho"),I314,IF(G314="Meio dia de férias",I314/2,0))</f>
        <v>0</v>
      </c>
      <c r="K314" s="23">
        <f>IF(OR(H314&gt;0,G314&lt;&gt;""),J314-I314,0)</f>
        <v>0</v>
      </c>
      <c r="L314" s="13"/>
      <c r="M314" s="20">
        <f>IF(A314="","",MONTH(A314))</f>
        <v>11</v>
      </c>
    </row>
    <row r="315" spans="1:13" x14ac:dyDescent="0.25">
      <c r="A315" s="18">
        <f>IF(YEAR(DATE('Configurações'!$B$5,1,1)+310)='Configurações'!$B$5,DATE('Configurações'!$B$5,1,1)+310,"")</f>
        <v>46698</v>
      </c>
      <c r="B315" s="19">
        <f>A315</f>
        <v>46698</v>
      </c>
      <c r="C315" s="20" t="str">
        <f>IF(A315="","",IF(COUNTIF('Feriados'!$A$5:$A$84,A315)&gt;0,"Feriado",IF(WEEKDAY(A315,2)&gt;5,"Fim de semana","Dia útil")))</f>
        <v>Fim de semana</v>
      </c>
      <c r="D315" s="21"/>
      <c r="E315" s="21"/>
      <c r="F315" s="14"/>
      <c r="G315" s="13"/>
      <c r="H315" s="22">
        <f>IF(AND(ISNUMBER(D315),ISNUMBER(E315)),ROUND(MOD(E315-D315,1)*24-N(F315)/60,2),0)</f>
        <v>0</v>
      </c>
      <c r="I315" s="22">
        <f>IF(C315="Dia útil",'Configurações'!$B$6,0)</f>
        <v>0</v>
      </c>
      <c r="J315" s="22">
        <f>H315+IF(OR(G315="Férias",G315="Atestado médico",G315="Consulta médica",G315="Folga de banco de horas",G315="Viagem a trabalho"),I315,IF(G315="Meio dia de férias",I315/2,0))</f>
        <v>0</v>
      </c>
      <c r="K315" s="23">
        <f>IF(OR(H315&gt;0,G315&lt;&gt;""),J315-I315,0)</f>
        <v>0</v>
      </c>
      <c r="L315" s="13"/>
      <c r="M315" s="20">
        <f>IF(A315="","",MONTH(A315))</f>
        <v>11</v>
      </c>
    </row>
    <row r="316" spans="1:13" x14ac:dyDescent="0.25">
      <c r="A316" s="18">
        <f>IF(YEAR(DATE('Configurações'!$B$5,1,1)+311)='Configurações'!$B$5,DATE('Configurações'!$B$5,1,1)+311,"")</f>
        <v>46699</v>
      </c>
      <c r="B316" s="19">
        <f>A316</f>
        <v>46699</v>
      </c>
      <c r="C316" s="20" t="str">
        <f>IF(A316="","",IF(COUNTIF('Feriados'!$A$5:$A$84,A316)&gt;0,"Feriado",IF(WEEKDAY(A316,2)&gt;5,"Fim de semana","Dia útil")))</f>
        <v>Dia útil</v>
      </c>
      <c r="D316" s="21"/>
      <c r="E316" s="21"/>
      <c r="F316" s="14"/>
      <c r="G316" s="13"/>
      <c r="H316" s="22">
        <f>IF(AND(ISNUMBER(D316),ISNUMBER(E316)),ROUND(MOD(E316-D316,1)*24-N(F316)/60,2),0)</f>
        <v>0</v>
      </c>
      <c r="I316" s="22">
        <f>IF(C316="Dia útil",'Configurações'!$B$6,0)</f>
        <v>8</v>
      </c>
      <c r="J316" s="22">
        <f>H316+IF(OR(G316="Férias",G316="Atestado médico",G316="Consulta médica",G316="Folga de banco de horas",G316="Viagem a trabalho"),I316,IF(G316="Meio dia de férias",I316/2,0))</f>
        <v>0</v>
      </c>
      <c r="K316" s="23">
        <f>IF(OR(H316&gt;0,G316&lt;&gt;""),J316-I316,0)</f>
        <v>0</v>
      </c>
      <c r="L316" s="13"/>
      <c r="M316" s="20">
        <f>IF(A316="","",MONTH(A316))</f>
        <v>11</v>
      </c>
    </row>
    <row r="317" spans="1:13" x14ac:dyDescent="0.25">
      <c r="A317" s="18">
        <f>IF(YEAR(DATE('Configurações'!$B$5,1,1)+312)='Configurações'!$B$5,DATE('Configurações'!$B$5,1,1)+312,"")</f>
        <v>46700</v>
      </c>
      <c r="B317" s="19">
        <f>A317</f>
        <v>46700</v>
      </c>
      <c r="C317" s="20" t="str">
        <f>IF(A317="","",IF(COUNTIF('Feriados'!$A$5:$A$84,A317)&gt;0,"Feriado",IF(WEEKDAY(A317,2)&gt;5,"Fim de semana","Dia útil")))</f>
        <v>Dia útil</v>
      </c>
      <c r="D317" s="21"/>
      <c r="E317" s="21"/>
      <c r="F317" s="14"/>
      <c r="G317" s="13"/>
      <c r="H317" s="22">
        <f>IF(AND(ISNUMBER(D317),ISNUMBER(E317)),ROUND(MOD(E317-D317,1)*24-N(F317)/60,2),0)</f>
        <v>0</v>
      </c>
      <c r="I317" s="22">
        <f>IF(C317="Dia útil",'Configurações'!$B$6,0)</f>
        <v>8</v>
      </c>
      <c r="J317" s="22">
        <f>H317+IF(OR(G317="Férias",G317="Atestado médico",G317="Consulta médica",G317="Folga de banco de horas",G317="Viagem a trabalho"),I317,IF(G317="Meio dia de férias",I317/2,0))</f>
        <v>0</v>
      </c>
      <c r="K317" s="23">
        <f>IF(OR(H317&gt;0,G317&lt;&gt;""),J317-I317,0)</f>
        <v>0</v>
      </c>
      <c r="L317" s="13"/>
      <c r="M317" s="20">
        <f>IF(A317="","",MONTH(A317))</f>
        <v>11</v>
      </c>
    </row>
    <row r="318" spans="1:13" x14ac:dyDescent="0.25">
      <c r="A318" s="18">
        <f>IF(YEAR(DATE('Configurações'!$B$5,1,1)+313)='Configurações'!$B$5,DATE('Configurações'!$B$5,1,1)+313,"")</f>
        <v>46701</v>
      </c>
      <c r="B318" s="19">
        <f>A318</f>
        <v>46701</v>
      </c>
      <c r="C318" s="20" t="str">
        <f>IF(A318="","",IF(COUNTIF('Feriados'!$A$5:$A$84,A318)&gt;0,"Feriado",IF(WEEKDAY(A318,2)&gt;5,"Fim de semana","Dia útil")))</f>
        <v>Dia útil</v>
      </c>
      <c r="D318" s="21"/>
      <c r="E318" s="21"/>
      <c r="F318" s="14"/>
      <c r="G318" s="13"/>
      <c r="H318" s="22">
        <f>IF(AND(ISNUMBER(D318),ISNUMBER(E318)),ROUND(MOD(E318-D318,1)*24-N(F318)/60,2),0)</f>
        <v>0</v>
      </c>
      <c r="I318" s="22">
        <f>IF(C318="Dia útil",'Configurações'!$B$6,0)</f>
        <v>8</v>
      </c>
      <c r="J318" s="22">
        <f>H318+IF(OR(G318="Férias",G318="Atestado médico",G318="Consulta médica",G318="Folga de banco de horas",G318="Viagem a trabalho"),I318,IF(G318="Meio dia de férias",I318/2,0))</f>
        <v>0</v>
      </c>
      <c r="K318" s="23">
        <f>IF(OR(H318&gt;0,G318&lt;&gt;""),J318-I318,0)</f>
        <v>0</v>
      </c>
      <c r="L318" s="13"/>
      <c r="M318" s="20">
        <f>IF(A318="","",MONTH(A318))</f>
        <v>11</v>
      </c>
    </row>
    <row r="319" spans="1:13" x14ac:dyDescent="0.25">
      <c r="A319" s="18">
        <f>IF(YEAR(DATE('Configurações'!$B$5,1,1)+314)='Configurações'!$B$5,DATE('Configurações'!$B$5,1,1)+314,"")</f>
        <v>46702</v>
      </c>
      <c r="B319" s="19">
        <f>A319</f>
        <v>46702</v>
      </c>
      <c r="C319" s="20" t="str">
        <f>IF(A319="","",IF(COUNTIF('Feriados'!$A$5:$A$84,A319)&gt;0,"Feriado",IF(WEEKDAY(A319,2)&gt;5,"Fim de semana","Dia útil")))</f>
        <v>Dia útil</v>
      </c>
      <c r="D319" s="21"/>
      <c r="E319" s="21"/>
      <c r="F319" s="14"/>
      <c r="G319" s="13"/>
      <c r="H319" s="22">
        <f>IF(AND(ISNUMBER(D319),ISNUMBER(E319)),ROUND(MOD(E319-D319,1)*24-N(F319)/60,2),0)</f>
        <v>0</v>
      </c>
      <c r="I319" s="22">
        <f>IF(C319="Dia útil",'Configurações'!$B$6,0)</f>
        <v>8</v>
      </c>
      <c r="J319" s="22">
        <f>H319+IF(OR(G319="Férias",G319="Atestado médico",G319="Consulta médica",G319="Folga de banco de horas",G319="Viagem a trabalho"),I319,IF(G319="Meio dia de férias",I319/2,0))</f>
        <v>0</v>
      </c>
      <c r="K319" s="23">
        <f>IF(OR(H319&gt;0,G319&lt;&gt;""),J319-I319,0)</f>
        <v>0</v>
      </c>
      <c r="L319" s="13"/>
      <c r="M319" s="20">
        <f>IF(A319="","",MONTH(A319))</f>
        <v>11</v>
      </c>
    </row>
    <row r="320" spans="1:13" x14ac:dyDescent="0.25">
      <c r="A320" s="18">
        <f>IF(YEAR(DATE('Configurações'!$B$5,1,1)+315)='Configurações'!$B$5,DATE('Configurações'!$B$5,1,1)+315,"")</f>
        <v>46703</v>
      </c>
      <c r="B320" s="19">
        <f>A320</f>
        <v>46703</v>
      </c>
      <c r="C320" s="20" t="str">
        <f>IF(A320="","",IF(COUNTIF('Feriados'!$A$5:$A$84,A320)&gt;0,"Feriado",IF(WEEKDAY(A320,2)&gt;5,"Fim de semana","Dia útil")))</f>
        <v>Dia útil</v>
      </c>
      <c r="D320" s="21"/>
      <c r="E320" s="21"/>
      <c r="F320" s="14"/>
      <c r="G320" s="13"/>
      <c r="H320" s="22">
        <f>IF(AND(ISNUMBER(D320),ISNUMBER(E320)),ROUND(MOD(E320-D320,1)*24-N(F320)/60,2),0)</f>
        <v>0</v>
      </c>
      <c r="I320" s="22">
        <f>IF(C320="Dia útil",'Configurações'!$B$6,0)</f>
        <v>8</v>
      </c>
      <c r="J320" s="22">
        <f>H320+IF(OR(G320="Férias",G320="Atestado médico",G320="Consulta médica",G320="Folga de banco de horas",G320="Viagem a trabalho"),I320,IF(G320="Meio dia de férias",I320/2,0))</f>
        <v>0</v>
      </c>
      <c r="K320" s="23">
        <f>IF(OR(H320&gt;0,G320&lt;&gt;""),J320-I320,0)</f>
        <v>0</v>
      </c>
      <c r="L320" s="13"/>
      <c r="M320" s="20">
        <f>IF(A320="","",MONTH(A320))</f>
        <v>11</v>
      </c>
    </row>
    <row r="321" spans="1:13" x14ac:dyDescent="0.25">
      <c r="A321" s="18">
        <f>IF(YEAR(DATE('Configurações'!$B$5,1,1)+316)='Configurações'!$B$5,DATE('Configurações'!$B$5,1,1)+316,"")</f>
        <v>46704</v>
      </c>
      <c r="B321" s="19">
        <f>A321</f>
        <v>46704</v>
      </c>
      <c r="C321" s="20" t="str">
        <f>IF(A321="","",IF(COUNTIF('Feriados'!$A$5:$A$84,A321)&gt;0,"Feriado",IF(WEEKDAY(A321,2)&gt;5,"Fim de semana","Dia útil")))</f>
        <v>Fim de semana</v>
      </c>
      <c r="D321" s="21"/>
      <c r="E321" s="21"/>
      <c r="F321" s="14"/>
      <c r="G321" s="13"/>
      <c r="H321" s="22">
        <f>IF(AND(ISNUMBER(D321),ISNUMBER(E321)),ROUND(MOD(E321-D321,1)*24-N(F321)/60,2),0)</f>
        <v>0</v>
      </c>
      <c r="I321" s="22">
        <f>IF(C321="Dia útil",'Configurações'!$B$6,0)</f>
        <v>0</v>
      </c>
      <c r="J321" s="22">
        <f>H321+IF(OR(G321="Férias",G321="Atestado médico",G321="Consulta médica",G321="Folga de banco de horas",G321="Viagem a trabalho"),I321,IF(G321="Meio dia de férias",I321/2,0))</f>
        <v>0</v>
      </c>
      <c r="K321" s="23">
        <f>IF(OR(H321&gt;0,G321&lt;&gt;""),J321-I321,0)</f>
        <v>0</v>
      </c>
      <c r="L321" s="13"/>
      <c r="M321" s="20">
        <f>IF(A321="","",MONTH(A321))</f>
        <v>11</v>
      </c>
    </row>
    <row r="322" spans="1:13" x14ac:dyDescent="0.25">
      <c r="A322" s="18">
        <f>IF(YEAR(DATE('Configurações'!$B$5,1,1)+317)='Configurações'!$B$5,DATE('Configurações'!$B$5,1,1)+317,"")</f>
        <v>46705</v>
      </c>
      <c r="B322" s="19">
        <f>A322</f>
        <v>46705</v>
      </c>
      <c r="C322" s="20" t="str">
        <f>IF(A322="","",IF(COUNTIF('Feriados'!$A$5:$A$84,A322)&gt;0,"Feriado",IF(WEEKDAY(A322,2)&gt;5,"Fim de semana","Dia útil")))</f>
        <v>Fim de semana</v>
      </c>
      <c r="D322" s="21"/>
      <c r="E322" s="21"/>
      <c r="F322" s="14"/>
      <c r="G322" s="13"/>
      <c r="H322" s="22">
        <f>IF(AND(ISNUMBER(D322),ISNUMBER(E322)),ROUND(MOD(E322-D322,1)*24-N(F322)/60,2),0)</f>
        <v>0</v>
      </c>
      <c r="I322" s="22">
        <f>IF(C322="Dia útil",'Configurações'!$B$6,0)</f>
        <v>0</v>
      </c>
      <c r="J322" s="22">
        <f>H322+IF(OR(G322="Férias",G322="Atestado médico",G322="Consulta médica",G322="Folga de banco de horas",G322="Viagem a trabalho"),I322,IF(G322="Meio dia de férias",I322/2,0))</f>
        <v>0</v>
      </c>
      <c r="K322" s="23">
        <f>IF(OR(H322&gt;0,G322&lt;&gt;""),J322-I322,0)</f>
        <v>0</v>
      </c>
      <c r="L322" s="13"/>
      <c r="M322" s="20">
        <f>IF(A322="","",MONTH(A322))</f>
        <v>11</v>
      </c>
    </row>
    <row r="323" spans="1:13" x14ac:dyDescent="0.25">
      <c r="A323" s="18">
        <f>IF(YEAR(DATE('Configurações'!$B$5,1,1)+318)='Configurações'!$B$5,DATE('Configurações'!$B$5,1,1)+318,"")</f>
        <v>46706</v>
      </c>
      <c r="B323" s="19">
        <f>A323</f>
        <v>46706</v>
      </c>
      <c r="C323" s="20" t="str">
        <f>IF(A323="","",IF(COUNTIF('Feriados'!$A$5:$A$84,A323)&gt;0,"Feriado",IF(WEEKDAY(A323,2)&gt;5,"Fim de semana","Dia útil")))</f>
        <v>Feriado</v>
      </c>
      <c r="D323" s="21"/>
      <c r="E323" s="21"/>
      <c r="F323" s="14"/>
      <c r="G323" s="13"/>
      <c r="H323" s="22">
        <f>IF(AND(ISNUMBER(D323),ISNUMBER(E323)),ROUND(MOD(E323-D323,1)*24-N(F323)/60,2),0)</f>
        <v>0</v>
      </c>
      <c r="I323" s="22">
        <f>IF(C323="Dia útil",'Configurações'!$B$6,0)</f>
        <v>0</v>
      </c>
      <c r="J323" s="22">
        <f>H323+IF(OR(G323="Férias",G323="Atestado médico",G323="Consulta médica",G323="Folga de banco de horas",G323="Viagem a trabalho"),I323,IF(G323="Meio dia de férias",I323/2,0))</f>
        <v>0</v>
      </c>
      <c r="K323" s="23">
        <f>IF(OR(H323&gt;0,G323&lt;&gt;""),J323-I323,0)</f>
        <v>0</v>
      </c>
      <c r="L323" s="13"/>
      <c r="M323" s="20">
        <f>IF(A323="","",MONTH(A323))</f>
        <v>11</v>
      </c>
    </row>
    <row r="324" spans="1:13" x14ac:dyDescent="0.25">
      <c r="A324" s="18">
        <f>IF(YEAR(DATE('Configurações'!$B$5,1,1)+319)='Configurações'!$B$5,DATE('Configurações'!$B$5,1,1)+319,"")</f>
        <v>46707</v>
      </c>
      <c r="B324" s="19">
        <f>A324</f>
        <v>46707</v>
      </c>
      <c r="C324" s="20" t="str">
        <f>IF(A324="","",IF(COUNTIF('Feriados'!$A$5:$A$84,A324)&gt;0,"Feriado",IF(WEEKDAY(A324,2)&gt;5,"Fim de semana","Dia útil")))</f>
        <v>Dia útil</v>
      </c>
      <c r="D324" s="21"/>
      <c r="E324" s="21"/>
      <c r="F324" s="14"/>
      <c r="G324" s="13"/>
      <c r="H324" s="22">
        <f>IF(AND(ISNUMBER(D324),ISNUMBER(E324)),ROUND(MOD(E324-D324,1)*24-N(F324)/60,2),0)</f>
        <v>0</v>
      </c>
      <c r="I324" s="22">
        <f>IF(C324="Dia útil",'Configurações'!$B$6,0)</f>
        <v>8</v>
      </c>
      <c r="J324" s="22">
        <f>H324+IF(OR(G324="Férias",G324="Atestado médico",G324="Consulta médica",G324="Folga de banco de horas",G324="Viagem a trabalho"),I324,IF(G324="Meio dia de férias",I324/2,0))</f>
        <v>0</v>
      </c>
      <c r="K324" s="23">
        <f>IF(OR(H324&gt;0,G324&lt;&gt;""),J324-I324,0)</f>
        <v>0</v>
      </c>
      <c r="L324" s="13"/>
      <c r="M324" s="20">
        <f>IF(A324="","",MONTH(A324))</f>
        <v>11</v>
      </c>
    </row>
    <row r="325" spans="1:13" x14ac:dyDescent="0.25">
      <c r="A325" s="18">
        <f>IF(YEAR(DATE('Configurações'!$B$5,1,1)+320)='Configurações'!$B$5,DATE('Configurações'!$B$5,1,1)+320,"")</f>
        <v>46708</v>
      </c>
      <c r="B325" s="19">
        <f>A325</f>
        <v>46708</v>
      </c>
      <c r="C325" s="20" t="str">
        <f>IF(A325="","",IF(COUNTIF('Feriados'!$A$5:$A$84,A325)&gt;0,"Feriado",IF(WEEKDAY(A325,2)&gt;5,"Fim de semana","Dia útil")))</f>
        <v>Dia útil</v>
      </c>
      <c r="D325" s="21"/>
      <c r="E325" s="21"/>
      <c r="F325" s="14"/>
      <c r="G325" s="13"/>
      <c r="H325" s="22">
        <f>IF(AND(ISNUMBER(D325),ISNUMBER(E325)),ROUND(MOD(E325-D325,1)*24-N(F325)/60,2),0)</f>
        <v>0</v>
      </c>
      <c r="I325" s="22">
        <f>IF(C325="Dia útil",'Configurações'!$B$6,0)</f>
        <v>8</v>
      </c>
      <c r="J325" s="22">
        <f>H325+IF(OR(G325="Férias",G325="Atestado médico",G325="Consulta médica",G325="Folga de banco de horas",G325="Viagem a trabalho"),I325,IF(G325="Meio dia de férias",I325/2,0))</f>
        <v>0</v>
      </c>
      <c r="K325" s="23">
        <f>IF(OR(H325&gt;0,G325&lt;&gt;""),J325-I325,0)</f>
        <v>0</v>
      </c>
      <c r="L325" s="13"/>
      <c r="M325" s="20">
        <f>IF(A325="","",MONTH(A325))</f>
        <v>11</v>
      </c>
    </row>
    <row r="326" spans="1:13" x14ac:dyDescent="0.25">
      <c r="A326" s="18">
        <f>IF(YEAR(DATE('Configurações'!$B$5,1,1)+321)='Configurações'!$B$5,DATE('Configurações'!$B$5,1,1)+321,"")</f>
        <v>46709</v>
      </c>
      <c r="B326" s="19">
        <f>A326</f>
        <v>46709</v>
      </c>
      <c r="C326" s="20" t="str">
        <f>IF(A326="","",IF(COUNTIF('Feriados'!$A$5:$A$84,A326)&gt;0,"Feriado",IF(WEEKDAY(A326,2)&gt;5,"Fim de semana","Dia útil")))</f>
        <v>Dia útil</v>
      </c>
      <c r="D326" s="21"/>
      <c r="E326" s="21"/>
      <c r="F326" s="14"/>
      <c r="G326" s="13"/>
      <c r="H326" s="22">
        <f>IF(AND(ISNUMBER(D326),ISNUMBER(E326)),ROUND(MOD(E326-D326,1)*24-N(F326)/60,2),0)</f>
        <v>0</v>
      </c>
      <c r="I326" s="22">
        <f>IF(C326="Dia útil",'Configurações'!$B$6,0)</f>
        <v>8</v>
      </c>
      <c r="J326" s="22">
        <f>H326+IF(OR(G326="Férias",G326="Atestado médico",G326="Consulta médica",G326="Folga de banco de horas",G326="Viagem a trabalho"),I326,IF(G326="Meio dia de férias",I326/2,0))</f>
        <v>0</v>
      </c>
      <c r="K326" s="23">
        <f>IF(OR(H326&gt;0,G326&lt;&gt;""),J326-I326,0)</f>
        <v>0</v>
      </c>
      <c r="L326" s="13"/>
      <c r="M326" s="20">
        <f>IF(A326="","",MONTH(A326))</f>
        <v>11</v>
      </c>
    </row>
    <row r="327" spans="1:13" x14ac:dyDescent="0.25">
      <c r="A327" s="18">
        <f>IF(YEAR(DATE('Configurações'!$B$5,1,1)+322)='Configurações'!$B$5,DATE('Configurações'!$B$5,1,1)+322,"")</f>
        <v>46710</v>
      </c>
      <c r="B327" s="19">
        <f>A327</f>
        <v>46710</v>
      </c>
      <c r="C327" s="20" t="str">
        <f>IF(A327="","",IF(COUNTIF('Feriados'!$A$5:$A$84,A327)&gt;0,"Feriado",IF(WEEKDAY(A327,2)&gt;5,"Fim de semana","Dia útil")))</f>
        <v>Dia útil</v>
      </c>
      <c r="D327" s="21"/>
      <c r="E327" s="21"/>
      <c r="F327" s="14"/>
      <c r="G327" s="13"/>
      <c r="H327" s="22">
        <f>IF(AND(ISNUMBER(D327),ISNUMBER(E327)),ROUND(MOD(E327-D327,1)*24-N(F327)/60,2),0)</f>
        <v>0</v>
      </c>
      <c r="I327" s="22">
        <f>IF(C327="Dia útil",'Configurações'!$B$6,0)</f>
        <v>8</v>
      </c>
      <c r="J327" s="22">
        <f>H327+IF(OR(G327="Férias",G327="Atestado médico",G327="Consulta médica",G327="Folga de banco de horas",G327="Viagem a trabalho"),I327,IF(G327="Meio dia de férias",I327/2,0))</f>
        <v>0</v>
      </c>
      <c r="K327" s="23">
        <f>IF(OR(H327&gt;0,G327&lt;&gt;""),J327-I327,0)</f>
        <v>0</v>
      </c>
      <c r="L327" s="13"/>
      <c r="M327" s="20">
        <f>IF(A327="","",MONTH(A327))</f>
        <v>11</v>
      </c>
    </row>
    <row r="328" spans="1:13" x14ac:dyDescent="0.25">
      <c r="A328" s="18">
        <f>IF(YEAR(DATE('Configurações'!$B$5,1,1)+323)='Configurações'!$B$5,DATE('Configurações'!$B$5,1,1)+323,"")</f>
        <v>46711</v>
      </c>
      <c r="B328" s="19">
        <f>A328</f>
        <v>46711</v>
      </c>
      <c r="C328" s="20" t="str">
        <f>IF(A328="","",IF(COUNTIF('Feriados'!$A$5:$A$84,A328)&gt;0,"Feriado",IF(WEEKDAY(A328,2)&gt;5,"Fim de semana","Dia útil")))</f>
        <v>Feriado</v>
      </c>
      <c r="D328" s="21"/>
      <c r="E328" s="21"/>
      <c r="F328" s="14"/>
      <c r="G328" s="13"/>
      <c r="H328" s="22">
        <f>IF(AND(ISNUMBER(D328),ISNUMBER(E328)),ROUND(MOD(E328-D328,1)*24-N(F328)/60,2),0)</f>
        <v>0</v>
      </c>
      <c r="I328" s="22">
        <f>IF(C328="Dia útil",'Configurações'!$B$6,0)</f>
        <v>0</v>
      </c>
      <c r="J328" s="22">
        <f>H328+IF(OR(G328="Férias",G328="Atestado médico",G328="Consulta médica",G328="Folga de banco de horas",G328="Viagem a trabalho"),I328,IF(G328="Meio dia de férias",I328/2,0))</f>
        <v>0</v>
      </c>
      <c r="K328" s="23">
        <f>IF(OR(H328&gt;0,G328&lt;&gt;""),J328-I328,0)</f>
        <v>0</v>
      </c>
      <c r="L328" s="13"/>
      <c r="M328" s="20">
        <f>IF(A328="","",MONTH(A328))</f>
        <v>11</v>
      </c>
    </row>
    <row r="329" spans="1:13" x14ac:dyDescent="0.25">
      <c r="A329" s="18">
        <f>IF(YEAR(DATE('Configurações'!$B$5,1,1)+324)='Configurações'!$B$5,DATE('Configurações'!$B$5,1,1)+324,"")</f>
        <v>46712</v>
      </c>
      <c r="B329" s="19">
        <f>A329</f>
        <v>46712</v>
      </c>
      <c r="C329" s="20" t="str">
        <f>IF(A329="","",IF(COUNTIF('Feriados'!$A$5:$A$84,A329)&gt;0,"Feriado",IF(WEEKDAY(A329,2)&gt;5,"Fim de semana","Dia útil")))</f>
        <v>Fim de semana</v>
      </c>
      <c r="D329" s="21"/>
      <c r="E329" s="21"/>
      <c r="F329" s="14"/>
      <c r="G329" s="13"/>
      <c r="H329" s="22">
        <f>IF(AND(ISNUMBER(D329),ISNUMBER(E329)),ROUND(MOD(E329-D329,1)*24-N(F329)/60,2),0)</f>
        <v>0</v>
      </c>
      <c r="I329" s="22">
        <f>IF(C329="Dia útil",'Configurações'!$B$6,0)</f>
        <v>0</v>
      </c>
      <c r="J329" s="22">
        <f>H329+IF(OR(G329="Férias",G329="Atestado médico",G329="Consulta médica",G329="Folga de banco de horas",G329="Viagem a trabalho"),I329,IF(G329="Meio dia de férias",I329/2,0))</f>
        <v>0</v>
      </c>
      <c r="K329" s="23">
        <f>IF(OR(H329&gt;0,G329&lt;&gt;""),J329-I329,0)</f>
        <v>0</v>
      </c>
      <c r="L329" s="13"/>
      <c r="M329" s="20">
        <f>IF(A329="","",MONTH(A329))</f>
        <v>11</v>
      </c>
    </row>
    <row r="330" spans="1:13" x14ac:dyDescent="0.25">
      <c r="A330" s="18">
        <f>IF(YEAR(DATE('Configurações'!$B$5,1,1)+325)='Configurações'!$B$5,DATE('Configurações'!$B$5,1,1)+325,"")</f>
        <v>46713</v>
      </c>
      <c r="B330" s="19">
        <f>A330</f>
        <v>46713</v>
      </c>
      <c r="C330" s="20" t="str">
        <f>IF(A330="","",IF(COUNTIF('Feriados'!$A$5:$A$84,A330)&gt;0,"Feriado",IF(WEEKDAY(A330,2)&gt;5,"Fim de semana","Dia útil")))</f>
        <v>Dia útil</v>
      </c>
      <c r="D330" s="21"/>
      <c r="E330" s="21"/>
      <c r="F330" s="14"/>
      <c r="G330" s="13"/>
      <c r="H330" s="22">
        <f>IF(AND(ISNUMBER(D330),ISNUMBER(E330)),ROUND(MOD(E330-D330,1)*24-N(F330)/60,2),0)</f>
        <v>0</v>
      </c>
      <c r="I330" s="22">
        <f>IF(C330="Dia útil",'Configurações'!$B$6,0)</f>
        <v>8</v>
      </c>
      <c r="J330" s="22">
        <f>H330+IF(OR(G330="Férias",G330="Atestado médico",G330="Consulta médica",G330="Folga de banco de horas",G330="Viagem a trabalho"),I330,IF(G330="Meio dia de férias",I330/2,0))</f>
        <v>0</v>
      </c>
      <c r="K330" s="23">
        <f>IF(OR(H330&gt;0,G330&lt;&gt;""),J330-I330,0)</f>
        <v>0</v>
      </c>
      <c r="L330" s="13"/>
      <c r="M330" s="20">
        <f>IF(A330="","",MONTH(A330))</f>
        <v>11</v>
      </c>
    </row>
    <row r="331" spans="1:13" x14ac:dyDescent="0.25">
      <c r="A331" s="18">
        <f>IF(YEAR(DATE('Configurações'!$B$5,1,1)+326)='Configurações'!$B$5,DATE('Configurações'!$B$5,1,1)+326,"")</f>
        <v>46714</v>
      </c>
      <c r="B331" s="19">
        <f>A331</f>
        <v>46714</v>
      </c>
      <c r="C331" s="20" t="str">
        <f>IF(A331="","",IF(COUNTIF('Feriados'!$A$5:$A$84,A331)&gt;0,"Feriado",IF(WEEKDAY(A331,2)&gt;5,"Fim de semana","Dia útil")))</f>
        <v>Dia útil</v>
      </c>
      <c r="D331" s="21"/>
      <c r="E331" s="21"/>
      <c r="F331" s="14"/>
      <c r="G331" s="13"/>
      <c r="H331" s="22">
        <f>IF(AND(ISNUMBER(D331),ISNUMBER(E331)),ROUND(MOD(E331-D331,1)*24-N(F331)/60,2),0)</f>
        <v>0</v>
      </c>
      <c r="I331" s="22">
        <f>IF(C331="Dia útil",'Configurações'!$B$6,0)</f>
        <v>8</v>
      </c>
      <c r="J331" s="22">
        <f>H331+IF(OR(G331="Férias",G331="Atestado médico",G331="Consulta médica",G331="Folga de banco de horas",G331="Viagem a trabalho"),I331,IF(G331="Meio dia de férias",I331/2,0))</f>
        <v>0</v>
      </c>
      <c r="K331" s="23">
        <f>IF(OR(H331&gt;0,G331&lt;&gt;""),J331-I331,0)</f>
        <v>0</v>
      </c>
      <c r="L331" s="13"/>
      <c r="M331" s="20">
        <f>IF(A331="","",MONTH(A331))</f>
        <v>11</v>
      </c>
    </row>
    <row r="332" spans="1:13" x14ac:dyDescent="0.25">
      <c r="A332" s="18">
        <f>IF(YEAR(DATE('Configurações'!$B$5,1,1)+327)='Configurações'!$B$5,DATE('Configurações'!$B$5,1,1)+327,"")</f>
        <v>46715</v>
      </c>
      <c r="B332" s="19">
        <f>A332</f>
        <v>46715</v>
      </c>
      <c r="C332" s="20" t="str">
        <f>IF(A332="","",IF(COUNTIF('Feriados'!$A$5:$A$84,A332)&gt;0,"Feriado",IF(WEEKDAY(A332,2)&gt;5,"Fim de semana","Dia útil")))</f>
        <v>Dia útil</v>
      </c>
      <c r="D332" s="21"/>
      <c r="E332" s="21"/>
      <c r="F332" s="14"/>
      <c r="G332" s="13"/>
      <c r="H332" s="22">
        <f>IF(AND(ISNUMBER(D332),ISNUMBER(E332)),ROUND(MOD(E332-D332,1)*24-N(F332)/60,2),0)</f>
        <v>0</v>
      </c>
      <c r="I332" s="22">
        <f>IF(C332="Dia útil",'Configurações'!$B$6,0)</f>
        <v>8</v>
      </c>
      <c r="J332" s="22">
        <f>H332+IF(OR(G332="Férias",G332="Atestado médico",G332="Consulta médica",G332="Folga de banco de horas",G332="Viagem a trabalho"),I332,IF(G332="Meio dia de férias",I332/2,0))</f>
        <v>0</v>
      </c>
      <c r="K332" s="23">
        <f>IF(OR(H332&gt;0,G332&lt;&gt;""),J332-I332,0)</f>
        <v>0</v>
      </c>
      <c r="L332" s="13"/>
      <c r="M332" s="20">
        <f>IF(A332="","",MONTH(A332))</f>
        <v>11</v>
      </c>
    </row>
    <row r="333" spans="1:13" x14ac:dyDescent="0.25">
      <c r="A333" s="18">
        <f>IF(YEAR(DATE('Configurações'!$B$5,1,1)+328)='Configurações'!$B$5,DATE('Configurações'!$B$5,1,1)+328,"")</f>
        <v>46716</v>
      </c>
      <c r="B333" s="19">
        <f>A333</f>
        <v>46716</v>
      </c>
      <c r="C333" s="20" t="str">
        <f>IF(A333="","",IF(COUNTIF('Feriados'!$A$5:$A$84,A333)&gt;0,"Feriado",IF(WEEKDAY(A333,2)&gt;5,"Fim de semana","Dia útil")))</f>
        <v>Dia útil</v>
      </c>
      <c r="D333" s="21"/>
      <c r="E333" s="21"/>
      <c r="F333" s="14"/>
      <c r="G333" s="13"/>
      <c r="H333" s="22">
        <f>IF(AND(ISNUMBER(D333),ISNUMBER(E333)),ROUND(MOD(E333-D333,1)*24-N(F333)/60,2),0)</f>
        <v>0</v>
      </c>
      <c r="I333" s="22">
        <f>IF(C333="Dia útil",'Configurações'!$B$6,0)</f>
        <v>8</v>
      </c>
      <c r="J333" s="22">
        <f>H333+IF(OR(G333="Férias",G333="Atestado médico",G333="Consulta médica",G333="Folga de banco de horas",G333="Viagem a trabalho"),I333,IF(G333="Meio dia de férias",I333/2,0))</f>
        <v>0</v>
      </c>
      <c r="K333" s="23">
        <f>IF(OR(H333&gt;0,G333&lt;&gt;""),J333-I333,0)</f>
        <v>0</v>
      </c>
      <c r="L333" s="13"/>
      <c r="M333" s="20">
        <f>IF(A333="","",MONTH(A333))</f>
        <v>11</v>
      </c>
    </row>
    <row r="334" spans="1:13" x14ac:dyDescent="0.25">
      <c r="A334" s="18">
        <f>IF(YEAR(DATE('Configurações'!$B$5,1,1)+329)='Configurações'!$B$5,DATE('Configurações'!$B$5,1,1)+329,"")</f>
        <v>46717</v>
      </c>
      <c r="B334" s="19">
        <f>A334</f>
        <v>46717</v>
      </c>
      <c r="C334" s="20" t="str">
        <f>IF(A334="","",IF(COUNTIF('Feriados'!$A$5:$A$84,A334)&gt;0,"Feriado",IF(WEEKDAY(A334,2)&gt;5,"Fim de semana","Dia útil")))</f>
        <v>Dia útil</v>
      </c>
      <c r="D334" s="21"/>
      <c r="E334" s="21"/>
      <c r="F334" s="14"/>
      <c r="G334" s="13"/>
      <c r="H334" s="22">
        <f>IF(AND(ISNUMBER(D334),ISNUMBER(E334)),ROUND(MOD(E334-D334,1)*24-N(F334)/60,2),0)</f>
        <v>0</v>
      </c>
      <c r="I334" s="22">
        <f>IF(C334="Dia útil",'Configurações'!$B$6,0)</f>
        <v>8</v>
      </c>
      <c r="J334" s="22">
        <f>H334+IF(OR(G334="Férias",G334="Atestado médico",G334="Consulta médica",G334="Folga de banco de horas",G334="Viagem a trabalho"),I334,IF(G334="Meio dia de férias",I334/2,0))</f>
        <v>0</v>
      </c>
      <c r="K334" s="23">
        <f>IF(OR(H334&gt;0,G334&lt;&gt;""),J334-I334,0)</f>
        <v>0</v>
      </c>
      <c r="L334" s="13"/>
      <c r="M334" s="20">
        <f>IF(A334="","",MONTH(A334))</f>
        <v>11</v>
      </c>
    </row>
    <row r="335" spans="1:13" x14ac:dyDescent="0.25">
      <c r="A335" s="18">
        <f>IF(YEAR(DATE('Configurações'!$B$5,1,1)+330)='Configurações'!$B$5,DATE('Configurações'!$B$5,1,1)+330,"")</f>
        <v>46718</v>
      </c>
      <c r="B335" s="19">
        <f>A335</f>
        <v>46718</v>
      </c>
      <c r="C335" s="20" t="str">
        <f>IF(A335="","",IF(COUNTIF('Feriados'!$A$5:$A$84,A335)&gt;0,"Feriado",IF(WEEKDAY(A335,2)&gt;5,"Fim de semana","Dia útil")))</f>
        <v>Fim de semana</v>
      </c>
      <c r="D335" s="21"/>
      <c r="E335" s="21"/>
      <c r="F335" s="14"/>
      <c r="G335" s="13"/>
      <c r="H335" s="22">
        <f>IF(AND(ISNUMBER(D335),ISNUMBER(E335)),ROUND(MOD(E335-D335,1)*24-N(F335)/60,2),0)</f>
        <v>0</v>
      </c>
      <c r="I335" s="22">
        <f>IF(C335="Dia útil",'Configurações'!$B$6,0)</f>
        <v>0</v>
      </c>
      <c r="J335" s="22">
        <f>H335+IF(OR(G335="Férias",G335="Atestado médico",G335="Consulta médica",G335="Folga de banco de horas",G335="Viagem a trabalho"),I335,IF(G335="Meio dia de férias",I335/2,0))</f>
        <v>0</v>
      </c>
      <c r="K335" s="23">
        <f>IF(OR(H335&gt;0,G335&lt;&gt;""),J335-I335,0)</f>
        <v>0</v>
      </c>
      <c r="L335" s="13"/>
      <c r="M335" s="20">
        <f>IF(A335="","",MONTH(A335))</f>
        <v>11</v>
      </c>
    </row>
    <row r="336" spans="1:13" x14ac:dyDescent="0.25">
      <c r="A336" s="18">
        <f>IF(YEAR(DATE('Configurações'!$B$5,1,1)+331)='Configurações'!$B$5,DATE('Configurações'!$B$5,1,1)+331,"")</f>
        <v>46719</v>
      </c>
      <c r="B336" s="19">
        <f>A336</f>
        <v>46719</v>
      </c>
      <c r="C336" s="20" t="str">
        <f>IF(A336="","",IF(COUNTIF('Feriados'!$A$5:$A$84,A336)&gt;0,"Feriado",IF(WEEKDAY(A336,2)&gt;5,"Fim de semana","Dia útil")))</f>
        <v>Fim de semana</v>
      </c>
      <c r="D336" s="21"/>
      <c r="E336" s="21"/>
      <c r="F336" s="14"/>
      <c r="G336" s="13"/>
      <c r="H336" s="22">
        <f>IF(AND(ISNUMBER(D336),ISNUMBER(E336)),ROUND(MOD(E336-D336,1)*24-N(F336)/60,2),0)</f>
        <v>0</v>
      </c>
      <c r="I336" s="22">
        <f>IF(C336="Dia útil",'Configurações'!$B$6,0)</f>
        <v>0</v>
      </c>
      <c r="J336" s="22">
        <f>H336+IF(OR(G336="Férias",G336="Atestado médico",G336="Consulta médica",G336="Folga de banco de horas",G336="Viagem a trabalho"),I336,IF(G336="Meio dia de férias",I336/2,0))</f>
        <v>0</v>
      </c>
      <c r="K336" s="23">
        <f>IF(OR(H336&gt;0,G336&lt;&gt;""),J336-I336,0)</f>
        <v>0</v>
      </c>
      <c r="L336" s="13"/>
      <c r="M336" s="20">
        <f>IF(A336="","",MONTH(A336))</f>
        <v>11</v>
      </c>
    </row>
    <row r="337" spans="1:13" x14ac:dyDescent="0.25">
      <c r="A337" s="18">
        <f>IF(YEAR(DATE('Configurações'!$B$5,1,1)+332)='Configurações'!$B$5,DATE('Configurações'!$B$5,1,1)+332,"")</f>
        <v>46720</v>
      </c>
      <c r="B337" s="19">
        <f>A337</f>
        <v>46720</v>
      </c>
      <c r="C337" s="20" t="str">
        <f>IF(A337="","",IF(COUNTIF('Feriados'!$A$5:$A$84,A337)&gt;0,"Feriado",IF(WEEKDAY(A337,2)&gt;5,"Fim de semana","Dia útil")))</f>
        <v>Dia útil</v>
      </c>
      <c r="D337" s="21"/>
      <c r="E337" s="21"/>
      <c r="F337" s="14"/>
      <c r="G337" s="13"/>
      <c r="H337" s="22">
        <f>IF(AND(ISNUMBER(D337),ISNUMBER(E337)),ROUND(MOD(E337-D337,1)*24-N(F337)/60,2),0)</f>
        <v>0</v>
      </c>
      <c r="I337" s="22">
        <f>IF(C337="Dia útil",'Configurações'!$B$6,0)</f>
        <v>8</v>
      </c>
      <c r="J337" s="22">
        <f>H337+IF(OR(G337="Férias",G337="Atestado médico",G337="Consulta médica",G337="Folga de banco de horas",G337="Viagem a trabalho"),I337,IF(G337="Meio dia de férias",I337/2,0))</f>
        <v>0</v>
      </c>
      <c r="K337" s="23">
        <f>IF(OR(H337&gt;0,G337&lt;&gt;""),J337-I337,0)</f>
        <v>0</v>
      </c>
      <c r="L337" s="13"/>
      <c r="M337" s="20">
        <f>IF(A337="","",MONTH(A337))</f>
        <v>11</v>
      </c>
    </row>
    <row r="338" spans="1:13" x14ac:dyDescent="0.25">
      <c r="A338" s="18">
        <f>IF(YEAR(DATE('Configurações'!$B$5,1,1)+333)='Configurações'!$B$5,DATE('Configurações'!$B$5,1,1)+333,"")</f>
        <v>46721</v>
      </c>
      <c r="B338" s="19">
        <f>A338</f>
        <v>46721</v>
      </c>
      <c r="C338" s="20" t="str">
        <f>IF(A338="","",IF(COUNTIF('Feriados'!$A$5:$A$84,A338)&gt;0,"Feriado",IF(WEEKDAY(A338,2)&gt;5,"Fim de semana","Dia útil")))</f>
        <v>Dia útil</v>
      </c>
      <c r="D338" s="21"/>
      <c r="E338" s="21"/>
      <c r="F338" s="14"/>
      <c r="G338" s="13"/>
      <c r="H338" s="22">
        <f>IF(AND(ISNUMBER(D338),ISNUMBER(E338)),ROUND(MOD(E338-D338,1)*24-N(F338)/60,2),0)</f>
        <v>0</v>
      </c>
      <c r="I338" s="22">
        <f>IF(C338="Dia útil",'Configurações'!$B$6,0)</f>
        <v>8</v>
      </c>
      <c r="J338" s="22">
        <f>H338+IF(OR(G338="Férias",G338="Atestado médico",G338="Consulta médica",G338="Folga de banco de horas",G338="Viagem a trabalho"),I338,IF(G338="Meio dia de férias",I338/2,0))</f>
        <v>0</v>
      </c>
      <c r="K338" s="23">
        <f>IF(OR(H338&gt;0,G338&lt;&gt;""),J338-I338,0)</f>
        <v>0</v>
      </c>
      <c r="L338" s="13"/>
      <c r="M338" s="20">
        <f>IF(A338="","",MONTH(A338))</f>
        <v>11</v>
      </c>
    </row>
    <row r="339" spans="1:13" x14ac:dyDescent="0.25">
      <c r="A339" s="18">
        <f>IF(YEAR(DATE('Configurações'!$B$5,1,1)+334)='Configurações'!$B$5,DATE('Configurações'!$B$5,1,1)+334,"")</f>
        <v>46722</v>
      </c>
      <c r="B339" s="19">
        <f>A339</f>
        <v>46722</v>
      </c>
      <c r="C339" s="20" t="str">
        <f>IF(A339="","",IF(COUNTIF('Feriados'!$A$5:$A$84,A339)&gt;0,"Feriado",IF(WEEKDAY(A339,2)&gt;5,"Fim de semana","Dia útil")))</f>
        <v>Dia útil</v>
      </c>
      <c r="D339" s="21"/>
      <c r="E339" s="21"/>
      <c r="F339" s="14"/>
      <c r="G339" s="13"/>
      <c r="H339" s="22">
        <f>IF(AND(ISNUMBER(D339),ISNUMBER(E339)),ROUND(MOD(E339-D339,1)*24-N(F339)/60,2),0)</f>
        <v>0</v>
      </c>
      <c r="I339" s="22">
        <f>IF(C339="Dia útil",'Configurações'!$B$6,0)</f>
        <v>8</v>
      </c>
      <c r="J339" s="22">
        <f>H339+IF(OR(G339="Férias",G339="Atestado médico",G339="Consulta médica",G339="Folga de banco de horas",G339="Viagem a trabalho"),I339,IF(G339="Meio dia de férias",I339/2,0))</f>
        <v>0</v>
      </c>
      <c r="K339" s="23">
        <f>IF(OR(H339&gt;0,G339&lt;&gt;""),J339-I339,0)</f>
        <v>0</v>
      </c>
      <c r="L339" s="13"/>
      <c r="M339" s="20">
        <f>IF(A339="","",MONTH(A339))</f>
        <v>12</v>
      </c>
    </row>
    <row r="340" spans="1:13" x14ac:dyDescent="0.25">
      <c r="A340" s="18">
        <f>IF(YEAR(DATE('Configurações'!$B$5,1,1)+335)='Configurações'!$B$5,DATE('Configurações'!$B$5,1,1)+335,"")</f>
        <v>46723</v>
      </c>
      <c r="B340" s="19">
        <f>A340</f>
        <v>46723</v>
      </c>
      <c r="C340" s="20" t="str">
        <f>IF(A340="","",IF(COUNTIF('Feriados'!$A$5:$A$84,A340)&gt;0,"Feriado",IF(WEEKDAY(A340,2)&gt;5,"Fim de semana","Dia útil")))</f>
        <v>Dia útil</v>
      </c>
      <c r="D340" s="21"/>
      <c r="E340" s="21"/>
      <c r="F340" s="14"/>
      <c r="G340" s="13"/>
      <c r="H340" s="22">
        <f>IF(AND(ISNUMBER(D340),ISNUMBER(E340)),ROUND(MOD(E340-D340,1)*24-N(F340)/60,2),0)</f>
        <v>0</v>
      </c>
      <c r="I340" s="22">
        <f>IF(C340="Dia útil",'Configurações'!$B$6,0)</f>
        <v>8</v>
      </c>
      <c r="J340" s="22">
        <f>H340+IF(OR(G340="Férias",G340="Atestado médico",G340="Consulta médica",G340="Folga de banco de horas",G340="Viagem a trabalho"),I340,IF(G340="Meio dia de férias",I340/2,0))</f>
        <v>0</v>
      </c>
      <c r="K340" s="23">
        <f>IF(OR(H340&gt;0,G340&lt;&gt;""),J340-I340,0)</f>
        <v>0</v>
      </c>
      <c r="L340" s="13"/>
      <c r="M340" s="20">
        <f>IF(A340="","",MONTH(A340))</f>
        <v>12</v>
      </c>
    </row>
    <row r="341" spans="1:13" x14ac:dyDescent="0.25">
      <c r="A341" s="18">
        <f>IF(YEAR(DATE('Configurações'!$B$5,1,1)+336)='Configurações'!$B$5,DATE('Configurações'!$B$5,1,1)+336,"")</f>
        <v>46724</v>
      </c>
      <c r="B341" s="19">
        <f>A341</f>
        <v>46724</v>
      </c>
      <c r="C341" s="20" t="str">
        <f>IF(A341="","",IF(COUNTIF('Feriados'!$A$5:$A$84,A341)&gt;0,"Feriado",IF(WEEKDAY(A341,2)&gt;5,"Fim de semana","Dia útil")))</f>
        <v>Dia útil</v>
      </c>
      <c r="D341" s="21"/>
      <c r="E341" s="21"/>
      <c r="F341" s="14"/>
      <c r="G341" s="13"/>
      <c r="H341" s="22">
        <f>IF(AND(ISNUMBER(D341),ISNUMBER(E341)),ROUND(MOD(E341-D341,1)*24-N(F341)/60,2),0)</f>
        <v>0</v>
      </c>
      <c r="I341" s="22">
        <f>IF(C341="Dia útil",'Configurações'!$B$6,0)</f>
        <v>8</v>
      </c>
      <c r="J341" s="22">
        <f>H341+IF(OR(G341="Férias",G341="Atestado médico",G341="Consulta médica",G341="Folga de banco de horas",G341="Viagem a trabalho"),I341,IF(G341="Meio dia de férias",I341/2,0))</f>
        <v>0</v>
      </c>
      <c r="K341" s="23">
        <f>IF(OR(H341&gt;0,G341&lt;&gt;""),J341-I341,0)</f>
        <v>0</v>
      </c>
      <c r="L341" s="13"/>
      <c r="M341" s="20">
        <f>IF(A341="","",MONTH(A341))</f>
        <v>12</v>
      </c>
    </row>
    <row r="342" spans="1:13" x14ac:dyDescent="0.25">
      <c r="A342" s="18">
        <f>IF(YEAR(DATE('Configurações'!$B$5,1,1)+337)='Configurações'!$B$5,DATE('Configurações'!$B$5,1,1)+337,"")</f>
        <v>46725</v>
      </c>
      <c r="B342" s="19">
        <f>A342</f>
        <v>46725</v>
      </c>
      <c r="C342" s="20" t="str">
        <f>IF(A342="","",IF(COUNTIF('Feriados'!$A$5:$A$84,A342)&gt;0,"Feriado",IF(WEEKDAY(A342,2)&gt;5,"Fim de semana","Dia útil")))</f>
        <v>Fim de semana</v>
      </c>
      <c r="D342" s="21"/>
      <c r="E342" s="21"/>
      <c r="F342" s="14"/>
      <c r="G342" s="13"/>
      <c r="H342" s="22">
        <f>IF(AND(ISNUMBER(D342),ISNUMBER(E342)),ROUND(MOD(E342-D342,1)*24-N(F342)/60,2),0)</f>
        <v>0</v>
      </c>
      <c r="I342" s="22">
        <f>IF(C342="Dia útil",'Configurações'!$B$6,0)</f>
        <v>0</v>
      </c>
      <c r="J342" s="22">
        <f>H342+IF(OR(G342="Férias",G342="Atestado médico",G342="Consulta médica",G342="Folga de banco de horas",G342="Viagem a trabalho"),I342,IF(G342="Meio dia de férias",I342/2,0))</f>
        <v>0</v>
      </c>
      <c r="K342" s="23">
        <f>IF(OR(H342&gt;0,G342&lt;&gt;""),J342-I342,0)</f>
        <v>0</v>
      </c>
      <c r="L342" s="13"/>
      <c r="M342" s="20">
        <f>IF(A342="","",MONTH(A342))</f>
        <v>12</v>
      </c>
    </row>
    <row r="343" spans="1:13" x14ac:dyDescent="0.25">
      <c r="A343" s="18">
        <f>IF(YEAR(DATE('Configurações'!$B$5,1,1)+338)='Configurações'!$B$5,DATE('Configurações'!$B$5,1,1)+338,"")</f>
        <v>46726</v>
      </c>
      <c r="B343" s="19">
        <f>A343</f>
        <v>46726</v>
      </c>
      <c r="C343" s="20" t="str">
        <f>IF(A343="","",IF(COUNTIF('Feriados'!$A$5:$A$84,A343)&gt;0,"Feriado",IF(WEEKDAY(A343,2)&gt;5,"Fim de semana","Dia útil")))</f>
        <v>Fim de semana</v>
      </c>
      <c r="D343" s="21"/>
      <c r="E343" s="21"/>
      <c r="F343" s="14"/>
      <c r="G343" s="13"/>
      <c r="H343" s="22">
        <f>IF(AND(ISNUMBER(D343),ISNUMBER(E343)),ROUND(MOD(E343-D343,1)*24-N(F343)/60,2),0)</f>
        <v>0</v>
      </c>
      <c r="I343" s="22">
        <f>IF(C343="Dia útil",'Configurações'!$B$6,0)</f>
        <v>0</v>
      </c>
      <c r="J343" s="22">
        <f>H343+IF(OR(G343="Férias",G343="Atestado médico",G343="Consulta médica",G343="Folga de banco de horas",G343="Viagem a trabalho"),I343,IF(G343="Meio dia de férias",I343/2,0))</f>
        <v>0</v>
      </c>
      <c r="K343" s="23">
        <f>IF(OR(H343&gt;0,G343&lt;&gt;""),J343-I343,0)</f>
        <v>0</v>
      </c>
      <c r="L343" s="13"/>
      <c r="M343" s="20">
        <f>IF(A343="","",MONTH(A343))</f>
        <v>12</v>
      </c>
    </row>
    <row r="344" spans="1:13" x14ac:dyDescent="0.25">
      <c r="A344" s="18">
        <f>IF(YEAR(DATE('Configurações'!$B$5,1,1)+339)='Configurações'!$B$5,DATE('Configurações'!$B$5,1,1)+339,"")</f>
        <v>46727</v>
      </c>
      <c r="B344" s="19">
        <f>A344</f>
        <v>46727</v>
      </c>
      <c r="C344" s="20" t="str">
        <f>IF(A344="","",IF(COUNTIF('Feriados'!$A$5:$A$84,A344)&gt;0,"Feriado",IF(WEEKDAY(A344,2)&gt;5,"Fim de semana","Dia útil")))</f>
        <v>Dia útil</v>
      </c>
      <c r="D344" s="21"/>
      <c r="E344" s="21"/>
      <c r="F344" s="14"/>
      <c r="G344" s="13"/>
      <c r="H344" s="22">
        <f>IF(AND(ISNUMBER(D344),ISNUMBER(E344)),ROUND(MOD(E344-D344,1)*24-N(F344)/60,2),0)</f>
        <v>0</v>
      </c>
      <c r="I344" s="22">
        <f>IF(C344="Dia útil",'Configurações'!$B$6,0)</f>
        <v>8</v>
      </c>
      <c r="J344" s="22">
        <f>H344+IF(OR(G344="Férias",G344="Atestado médico",G344="Consulta médica",G344="Folga de banco de horas",G344="Viagem a trabalho"),I344,IF(G344="Meio dia de férias",I344/2,0))</f>
        <v>0</v>
      </c>
      <c r="K344" s="23">
        <f>IF(OR(H344&gt;0,G344&lt;&gt;""),J344-I344,0)</f>
        <v>0</v>
      </c>
      <c r="L344" s="13"/>
      <c r="M344" s="20">
        <f>IF(A344="","",MONTH(A344))</f>
        <v>12</v>
      </c>
    </row>
    <row r="345" spans="1:13" x14ac:dyDescent="0.25">
      <c r="A345" s="18">
        <f>IF(YEAR(DATE('Configurações'!$B$5,1,1)+340)='Configurações'!$B$5,DATE('Configurações'!$B$5,1,1)+340,"")</f>
        <v>46728</v>
      </c>
      <c r="B345" s="19">
        <f>A345</f>
        <v>46728</v>
      </c>
      <c r="C345" s="20" t="str">
        <f>IF(A345="","",IF(COUNTIF('Feriados'!$A$5:$A$84,A345)&gt;0,"Feriado",IF(WEEKDAY(A345,2)&gt;5,"Fim de semana","Dia útil")))</f>
        <v>Dia útil</v>
      </c>
      <c r="D345" s="21"/>
      <c r="E345" s="21"/>
      <c r="F345" s="14"/>
      <c r="G345" s="13"/>
      <c r="H345" s="22">
        <f>IF(AND(ISNUMBER(D345),ISNUMBER(E345)),ROUND(MOD(E345-D345,1)*24-N(F345)/60,2),0)</f>
        <v>0</v>
      </c>
      <c r="I345" s="22">
        <f>IF(C345="Dia útil",'Configurações'!$B$6,0)</f>
        <v>8</v>
      </c>
      <c r="J345" s="22">
        <f>H345+IF(OR(G345="Férias",G345="Atestado médico",G345="Consulta médica",G345="Folga de banco de horas",G345="Viagem a trabalho"),I345,IF(G345="Meio dia de férias",I345/2,0))</f>
        <v>0</v>
      </c>
      <c r="K345" s="23">
        <f>IF(OR(H345&gt;0,G345&lt;&gt;""),J345-I345,0)</f>
        <v>0</v>
      </c>
      <c r="L345" s="13"/>
      <c r="M345" s="20">
        <f>IF(A345="","",MONTH(A345))</f>
        <v>12</v>
      </c>
    </row>
    <row r="346" spans="1:13" x14ac:dyDescent="0.25">
      <c r="A346" s="18">
        <f>IF(YEAR(DATE('Configurações'!$B$5,1,1)+341)='Configurações'!$B$5,DATE('Configurações'!$B$5,1,1)+341,"")</f>
        <v>46729</v>
      </c>
      <c r="B346" s="19">
        <f>A346</f>
        <v>46729</v>
      </c>
      <c r="C346" s="20" t="str">
        <f>IF(A346="","",IF(COUNTIF('Feriados'!$A$5:$A$84,A346)&gt;0,"Feriado",IF(WEEKDAY(A346,2)&gt;5,"Fim de semana","Dia útil")))</f>
        <v>Dia útil</v>
      </c>
      <c r="D346" s="21"/>
      <c r="E346" s="21"/>
      <c r="F346" s="14"/>
      <c r="G346" s="13"/>
      <c r="H346" s="22">
        <f>IF(AND(ISNUMBER(D346),ISNUMBER(E346)),ROUND(MOD(E346-D346,1)*24-N(F346)/60,2),0)</f>
        <v>0</v>
      </c>
      <c r="I346" s="22">
        <f>IF(C346="Dia útil",'Configurações'!$B$6,0)</f>
        <v>8</v>
      </c>
      <c r="J346" s="22">
        <f>H346+IF(OR(G346="Férias",G346="Atestado médico",G346="Consulta médica",G346="Folga de banco de horas",G346="Viagem a trabalho"),I346,IF(G346="Meio dia de férias",I346/2,0))</f>
        <v>0</v>
      </c>
      <c r="K346" s="23">
        <f>IF(OR(H346&gt;0,G346&lt;&gt;""),J346-I346,0)</f>
        <v>0</v>
      </c>
      <c r="L346" s="13"/>
      <c r="M346" s="20">
        <f>IF(A346="","",MONTH(A346))</f>
        <v>12</v>
      </c>
    </row>
    <row r="347" spans="1:13" x14ac:dyDescent="0.25">
      <c r="A347" s="18">
        <f>IF(YEAR(DATE('Configurações'!$B$5,1,1)+342)='Configurações'!$B$5,DATE('Configurações'!$B$5,1,1)+342,"")</f>
        <v>46730</v>
      </c>
      <c r="B347" s="19">
        <f>A347</f>
        <v>46730</v>
      </c>
      <c r="C347" s="20" t="str">
        <f>IF(A347="","",IF(COUNTIF('Feriados'!$A$5:$A$84,A347)&gt;0,"Feriado",IF(WEEKDAY(A347,2)&gt;5,"Fim de semana","Dia útil")))</f>
        <v>Dia útil</v>
      </c>
      <c r="D347" s="21"/>
      <c r="E347" s="21"/>
      <c r="F347" s="14"/>
      <c r="G347" s="13"/>
      <c r="H347" s="22">
        <f>IF(AND(ISNUMBER(D347),ISNUMBER(E347)),ROUND(MOD(E347-D347,1)*24-N(F347)/60,2),0)</f>
        <v>0</v>
      </c>
      <c r="I347" s="22">
        <f>IF(C347="Dia útil",'Configurações'!$B$6,0)</f>
        <v>8</v>
      </c>
      <c r="J347" s="22">
        <f>H347+IF(OR(G347="Férias",G347="Atestado médico",G347="Consulta médica",G347="Folga de banco de horas",G347="Viagem a trabalho"),I347,IF(G347="Meio dia de férias",I347/2,0))</f>
        <v>0</v>
      </c>
      <c r="K347" s="23">
        <f>IF(OR(H347&gt;0,G347&lt;&gt;""),J347-I347,0)</f>
        <v>0</v>
      </c>
      <c r="L347" s="13"/>
      <c r="M347" s="20">
        <f>IF(A347="","",MONTH(A347))</f>
        <v>12</v>
      </c>
    </row>
    <row r="348" spans="1:13" x14ac:dyDescent="0.25">
      <c r="A348" s="18">
        <f>IF(YEAR(DATE('Configurações'!$B$5,1,1)+343)='Configurações'!$B$5,DATE('Configurações'!$B$5,1,1)+343,"")</f>
        <v>46731</v>
      </c>
      <c r="B348" s="19">
        <f>A348</f>
        <v>46731</v>
      </c>
      <c r="C348" s="20" t="str">
        <f>IF(A348="","",IF(COUNTIF('Feriados'!$A$5:$A$84,A348)&gt;0,"Feriado",IF(WEEKDAY(A348,2)&gt;5,"Fim de semana","Dia útil")))</f>
        <v>Dia útil</v>
      </c>
      <c r="D348" s="21"/>
      <c r="E348" s="21"/>
      <c r="F348" s="14"/>
      <c r="G348" s="13"/>
      <c r="H348" s="22">
        <f>IF(AND(ISNUMBER(D348),ISNUMBER(E348)),ROUND(MOD(E348-D348,1)*24-N(F348)/60,2),0)</f>
        <v>0</v>
      </c>
      <c r="I348" s="22">
        <f>IF(C348="Dia útil",'Configurações'!$B$6,0)</f>
        <v>8</v>
      </c>
      <c r="J348" s="22">
        <f>H348+IF(OR(G348="Férias",G348="Atestado médico",G348="Consulta médica",G348="Folga de banco de horas",G348="Viagem a trabalho"),I348,IF(G348="Meio dia de férias",I348/2,0))</f>
        <v>0</v>
      </c>
      <c r="K348" s="23">
        <f>IF(OR(H348&gt;0,G348&lt;&gt;""),J348-I348,0)</f>
        <v>0</v>
      </c>
      <c r="L348" s="13"/>
      <c r="M348" s="20">
        <f>IF(A348="","",MONTH(A348))</f>
        <v>12</v>
      </c>
    </row>
    <row r="349" spans="1:13" x14ac:dyDescent="0.25">
      <c r="A349" s="18">
        <f>IF(YEAR(DATE('Configurações'!$B$5,1,1)+344)='Configurações'!$B$5,DATE('Configurações'!$B$5,1,1)+344,"")</f>
        <v>46732</v>
      </c>
      <c r="B349" s="19">
        <f>A349</f>
        <v>46732</v>
      </c>
      <c r="C349" s="20" t="str">
        <f>IF(A349="","",IF(COUNTIF('Feriados'!$A$5:$A$84,A349)&gt;0,"Feriado",IF(WEEKDAY(A349,2)&gt;5,"Fim de semana","Dia útil")))</f>
        <v>Fim de semana</v>
      </c>
      <c r="D349" s="21"/>
      <c r="E349" s="21"/>
      <c r="F349" s="14"/>
      <c r="G349" s="13"/>
      <c r="H349" s="22">
        <f>IF(AND(ISNUMBER(D349),ISNUMBER(E349)),ROUND(MOD(E349-D349,1)*24-N(F349)/60,2),0)</f>
        <v>0</v>
      </c>
      <c r="I349" s="22">
        <f>IF(C349="Dia útil",'Configurações'!$B$6,0)</f>
        <v>0</v>
      </c>
      <c r="J349" s="22">
        <f>H349+IF(OR(G349="Férias",G349="Atestado médico",G349="Consulta médica",G349="Folga de banco de horas",G349="Viagem a trabalho"),I349,IF(G349="Meio dia de férias",I349/2,0))</f>
        <v>0</v>
      </c>
      <c r="K349" s="23">
        <f>IF(OR(H349&gt;0,G349&lt;&gt;""),J349-I349,0)</f>
        <v>0</v>
      </c>
      <c r="L349" s="13"/>
      <c r="M349" s="20">
        <f>IF(A349="","",MONTH(A349))</f>
        <v>12</v>
      </c>
    </row>
    <row r="350" spans="1:13" x14ac:dyDescent="0.25">
      <c r="A350" s="18">
        <f>IF(YEAR(DATE('Configurações'!$B$5,1,1)+345)='Configurações'!$B$5,DATE('Configurações'!$B$5,1,1)+345,"")</f>
        <v>46733</v>
      </c>
      <c r="B350" s="19">
        <f>A350</f>
        <v>46733</v>
      </c>
      <c r="C350" s="20" t="str">
        <f>IF(A350="","",IF(COUNTIF('Feriados'!$A$5:$A$84,A350)&gt;0,"Feriado",IF(WEEKDAY(A350,2)&gt;5,"Fim de semana","Dia útil")))</f>
        <v>Fim de semana</v>
      </c>
      <c r="D350" s="21"/>
      <c r="E350" s="21"/>
      <c r="F350" s="14"/>
      <c r="G350" s="13"/>
      <c r="H350" s="22">
        <f>IF(AND(ISNUMBER(D350),ISNUMBER(E350)),ROUND(MOD(E350-D350,1)*24-N(F350)/60,2),0)</f>
        <v>0</v>
      </c>
      <c r="I350" s="22">
        <f>IF(C350="Dia útil",'Configurações'!$B$6,0)</f>
        <v>0</v>
      </c>
      <c r="J350" s="22">
        <f>H350+IF(OR(G350="Férias",G350="Atestado médico",G350="Consulta médica",G350="Folga de banco de horas",G350="Viagem a trabalho"),I350,IF(G350="Meio dia de férias",I350/2,0))</f>
        <v>0</v>
      </c>
      <c r="K350" s="23">
        <f>IF(OR(H350&gt;0,G350&lt;&gt;""),J350-I350,0)</f>
        <v>0</v>
      </c>
      <c r="L350" s="13"/>
      <c r="M350" s="20">
        <f>IF(A350="","",MONTH(A350))</f>
        <v>12</v>
      </c>
    </row>
    <row r="351" spans="1:13" x14ac:dyDescent="0.25">
      <c r="A351" s="18">
        <f>IF(YEAR(DATE('Configurações'!$B$5,1,1)+346)='Configurações'!$B$5,DATE('Configurações'!$B$5,1,1)+346,"")</f>
        <v>46734</v>
      </c>
      <c r="B351" s="19">
        <f>A351</f>
        <v>46734</v>
      </c>
      <c r="C351" s="20" t="str">
        <f>IF(A351="","",IF(COUNTIF('Feriados'!$A$5:$A$84,A351)&gt;0,"Feriado",IF(WEEKDAY(A351,2)&gt;5,"Fim de semana","Dia útil")))</f>
        <v>Dia útil</v>
      </c>
      <c r="D351" s="21"/>
      <c r="E351" s="21"/>
      <c r="F351" s="14"/>
      <c r="G351" s="13"/>
      <c r="H351" s="22">
        <f>IF(AND(ISNUMBER(D351),ISNUMBER(E351)),ROUND(MOD(E351-D351,1)*24-N(F351)/60,2),0)</f>
        <v>0</v>
      </c>
      <c r="I351" s="22">
        <f>IF(C351="Dia útil",'Configurações'!$B$6,0)</f>
        <v>8</v>
      </c>
      <c r="J351" s="22">
        <f>H351+IF(OR(G351="Férias",G351="Atestado médico",G351="Consulta médica",G351="Folga de banco de horas",G351="Viagem a trabalho"),I351,IF(G351="Meio dia de férias",I351/2,0))</f>
        <v>0</v>
      </c>
      <c r="K351" s="23">
        <f>IF(OR(H351&gt;0,G351&lt;&gt;""),J351-I351,0)</f>
        <v>0</v>
      </c>
      <c r="L351" s="13"/>
      <c r="M351" s="20">
        <f>IF(A351="","",MONTH(A351))</f>
        <v>12</v>
      </c>
    </row>
    <row r="352" spans="1:13" x14ac:dyDescent="0.25">
      <c r="A352" s="18">
        <f>IF(YEAR(DATE('Configurações'!$B$5,1,1)+347)='Configurações'!$B$5,DATE('Configurações'!$B$5,1,1)+347,"")</f>
        <v>46735</v>
      </c>
      <c r="B352" s="19">
        <f>A352</f>
        <v>46735</v>
      </c>
      <c r="C352" s="20" t="str">
        <f>IF(A352="","",IF(COUNTIF('Feriados'!$A$5:$A$84,A352)&gt;0,"Feriado",IF(WEEKDAY(A352,2)&gt;5,"Fim de semana","Dia útil")))</f>
        <v>Dia útil</v>
      </c>
      <c r="D352" s="21"/>
      <c r="E352" s="21"/>
      <c r="F352" s="14"/>
      <c r="G352" s="13"/>
      <c r="H352" s="22">
        <f>IF(AND(ISNUMBER(D352),ISNUMBER(E352)),ROUND(MOD(E352-D352,1)*24-N(F352)/60,2),0)</f>
        <v>0</v>
      </c>
      <c r="I352" s="22">
        <f>IF(C352="Dia útil",'Configurações'!$B$6,0)</f>
        <v>8</v>
      </c>
      <c r="J352" s="22">
        <f>H352+IF(OR(G352="Férias",G352="Atestado médico",G352="Consulta médica",G352="Folga de banco de horas",G352="Viagem a trabalho"),I352,IF(G352="Meio dia de férias",I352/2,0))</f>
        <v>0</v>
      </c>
      <c r="K352" s="23">
        <f>IF(OR(H352&gt;0,G352&lt;&gt;""),J352-I352,0)</f>
        <v>0</v>
      </c>
      <c r="L352" s="13"/>
      <c r="M352" s="20">
        <f>IF(A352="","",MONTH(A352))</f>
        <v>12</v>
      </c>
    </row>
    <row r="353" spans="1:13" x14ac:dyDescent="0.25">
      <c r="A353" s="18">
        <f>IF(YEAR(DATE('Configurações'!$B$5,1,1)+348)='Configurações'!$B$5,DATE('Configurações'!$B$5,1,1)+348,"")</f>
        <v>46736</v>
      </c>
      <c r="B353" s="19">
        <f>A353</f>
        <v>46736</v>
      </c>
      <c r="C353" s="20" t="str">
        <f>IF(A353="","",IF(COUNTIF('Feriados'!$A$5:$A$84,A353)&gt;0,"Feriado",IF(WEEKDAY(A353,2)&gt;5,"Fim de semana","Dia útil")))</f>
        <v>Dia útil</v>
      </c>
      <c r="D353" s="21"/>
      <c r="E353" s="21"/>
      <c r="F353" s="14"/>
      <c r="G353" s="13"/>
      <c r="H353" s="22">
        <f>IF(AND(ISNUMBER(D353),ISNUMBER(E353)),ROUND(MOD(E353-D353,1)*24-N(F353)/60,2),0)</f>
        <v>0</v>
      </c>
      <c r="I353" s="22">
        <f>IF(C353="Dia útil",'Configurações'!$B$6,0)</f>
        <v>8</v>
      </c>
      <c r="J353" s="22">
        <f>H353+IF(OR(G353="Férias",G353="Atestado médico",G353="Consulta médica",G353="Folga de banco de horas",G353="Viagem a trabalho"),I353,IF(G353="Meio dia de férias",I353/2,0))</f>
        <v>0</v>
      </c>
      <c r="K353" s="23">
        <f>IF(OR(H353&gt;0,G353&lt;&gt;""),J353-I353,0)</f>
        <v>0</v>
      </c>
      <c r="L353" s="13"/>
      <c r="M353" s="20">
        <f>IF(A353="","",MONTH(A353))</f>
        <v>12</v>
      </c>
    </row>
    <row r="354" spans="1:13" x14ac:dyDescent="0.25">
      <c r="A354" s="18">
        <f>IF(YEAR(DATE('Configurações'!$B$5,1,1)+349)='Configurações'!$B$5,DATE('Configurações'!$B$5,1,1)+349,"")</f>
        <v>46737</v>
      </c>
      <c r="B354" s="19">
        <f>A354</f>
        <v>46737</v>
      </c>
      <c r="C354" s="20" t="str">
        <f>IF(A354="","",IF(COUNTIF('Feriados'!$A$5:$A$84,A354)&gt;0,"Feriado",IF(WEEKDAY(A354,2)&gt;5,"Fim de semana","Dia útil")))</f>
        <v>Dia útil</v>
      </c>
      <c r="D354" s="21"/>
      <c r="E354" s="21"/>
      <c r="F354" s="14"/>
      <c r="G354" s="13"/>
      <c r="H354" s="22">
        <f>IF(AND(ISNUMBER(D354),ISNUMBER(E354)),ROUND(MOD(E354-D354,1)*24-N(F354)/60,2),0)</f>
        <v>0</v>
      </c>
      <c r="I354" s="22">
        <f>IF(C354="Dia útil",'Configurações'!$B$6,0)</f>
        <v>8</v>
      </c>
      <c r="J354" s="22">
        <f>H354+IF(OR(G354="Férias",G354="Atestado médico",G354="Consulta médica",G354="Folga de banco de horas",G354="Viagem a trabalho"),I354,IF(G354="Meio dia de férias",I354/2,0))</f>
        <v>0</v>
      </c>
      <c r="K354" s="23">
        <f>IF(OR(H354&gt;0,G354&lt;&gt;""),J354-I354,0)</f>
        <v>0</v>
      </c>
      <c r="L354" s="13"/>
      <c r="M354" s="20">
        <f>IF(A354="","",MONTH(A354))</f>
        <v>12</v>
      </c>
    </row>
    <row r="355" spans="1:13" x14ac:dyDescent="0.25">
      <c r="A355" s="18">
        <f>IF(YEAR(DATE('Configurações'!$B$5,1,1)+350)='Configurações'!$B$5,DATE('Configurações'!$B$5,1,1)+350,"")</f>
        <v>46738</v>
      </c>
      <c r="B355" s="19">
        <f>A355</f>
        <v>46738</v>
      </c>
      <c r="C355" s="20" t="str">
        <f>IF(A355="","",IF(COUNTIF('Feriados'!$A$5:$A$84,A355)&gt;0,"Feriado",IF(WEEKDAY(A355,2)&gt;5,"Fim de semana","Dia útil")))</f>
        <v>Dia útil</v>
      </c>
      <c r="D355" s="21"/>
      <c r="E355" s="21"/>
      <c r="F355" s="14"/>
      <c r="G355" s="13"/>
      <c r="H355" s="22">
        <f>IF(AND(ISNUMBER(D355),ISNUMBER(E355)),ROUND(MOD(E355-D355,1)*24-N(F355)/60,2),0)</f>
        <v>0</v>
      </c>
      <c r="I355" s="22">
        <f>IF(C355="Dia útil",'Configurações'!$B$6,0)</f>
        <v>8</v>
      </c>
      <c r="J355" s="22">
        <f>H355+IF(OR(G355="Férias",G355="Atestado médico",G355="Consulta médica",G355="Folga de banco de horas",G355="Viagem a trabalho"),I355,IF(G355="Meio dia de férias",I355/2,0))</f>
        <v>0</v>
      </c>
      <c r="K355" s="23">
        <f>IF(OR(H355&gt;0,G355&lt;&gt;""),J355-I355,0)</f>
        <v>0</v>
      </c>
      <c r="L355" s="13"/>
      <c r="M355" s="20">
        <f>IF(A355="","",MONTH(A355))</f>
        <v>12</v>
      </c>
    </row>
    <row r="356" spans="1:13" x14ac:dyDescent="0.25">
      <c r="A356" s="18">
        <f>IF(YEAR(DATE('Configurações'!$B$5,1,1)+351)='Configurações'!$B$5,DATE('Configurações'!$B$5,1,1)+351,"")</f>
        <v>46739</v>
      </c>
      <c r="B356" s="19">
        <f>A356</f>
        <v>46739</v>
      </c>
      <c r="C356" s="20" t="str">
        <f>IF(A356="","",IF(COUNTIF('Feriados'!$A$5:$A$84,A356)&gt;0,"Feriado",IF(WEEKDAY(A356,2)&gt;5,"Fim de semana","Dia útil")))</f>
        <v>Fim de semana</v>
      </c>
      <c r="D356" s="21"/>
      <c r="E356" s="21"/>
      <c r="F356" s="14"/>
      <c r="G356" s="13"/>
      <c r="H356" s="22">
        <f>IF(AND(ISNUMBER(D356),ISNUMBER(E356)),ROUND(MOD(E356-D356,1)*24-N(F356)/60,2),0)</f>
        <v>0</v>
      </c>
      <c r="I356" s="22">
        <f>IF(C356="Dia útil",'Configurações'!$B$6,0)</f>
        <v>0</v>
      </c>
      <c r="J356" s="22">
        <f>H356+IF(OR(G356="Férias",G356="Atestado médico",G356="Consulta médica",G356="Folga de banco de horas",G356="Viagem a trabalho"),I356,IF(G356="Meio dia de férias",I356/2,0))</f>
        <v>0</v>
      </c>
      <c r="K356" s="23">
        <f>IF(OR(H356&gt;0,G356&lt;&gt;""),J356-I356,0)</f>
        <v>0</v>
      </c>
      <c r="L356" s="13"/>
      <c r="M356" s="20">
        <f>IF(A356="","",MONTH(A356))</f>
        <v>12</v>
      </c>
    </row>
    <row r="357" spans="1:13" x14ac:dyDescent="0.25">
      <c r="A357" s="18">
        <f>IF(YEAR(DATE('Configurações'!$B$5,1,1)+352)='Configurações'!$B$5,DATE('Configurações'!$B$5,1,1)+352,"")</f>
        <v>46740</v>
      </c>
      <c r="B357" s="19">
        <f>A357</f>
        <v>46740</v>
      </c>
      <c r="C357" s="20" t="str">
        <f>IF(A357="","",IF(COUNTIF('Feriados'!$A$5:$A$84,A357)&gt;0,"Feriado",IF(WEEKDAY(A357,2)&gt;5,"Fim de semana","Dia útil")))</f>
        <v>Fim de semana</v>
      </c>
      <c r="D357" s="21"/>
      <c r="E357" s="21"/>
      <c r="F357" s="14"/>
      <c r="G357" s="13"/>
      <c r="H357" s="22">
        <f>IF(AND(ISNUMBER(D357),ISNUMBER(E357)),ROUND(MOD(E357-D357,1)*24-N(F357)/60,2),0)</f>
        <v>0</v>
      </c>
      <c r="I357" s="22">
        <f>IF(C357="Dia útil",'Configurações'!$B$6,0)</f>
        <v>0</v>
      </c>
      <c r="J357" s="22">
        <f>H357+IF(OR(G357="Férias",G357="Atestado médico",G357="Consulta médica",G357="Folga de banco de horas",G357="Viagem a trabalho"),I357,IF(G357="Meio dia de férias",I357/2,0))</f>
        <v>0</v>
      </c>
      <c r="K357" s="23">
        <f>IF(OR(H357&gt;0,G357&lt;&gt;""),J357-I357,0)</f>
        <v>0</v>
      </c>
      <c r="L357" s="13"/>
      <c r="M357" s="20">
        <f>IF(A357="","",MONTH(A357))</f>
        <v>12</v>
      </c>
    </row>
    <row r="358" spans="1:13" x14ac:dyDescent="0.25">
      <c r="A358" s="18">
        <f>IF(YEAR(DATE('Configurações'!$B$5,1,1)+353)='Configurações'!$B$5,DATE('Configurações'!$B$5,1,1)+353,"")</f>
        <v>46741</v>
      </c>
      <c r="B358" s="19">
        <f>A358</f>
        <v>46741</v>
      </c>
      <c r="C358" s="20" t="str">
        <f>IF(A358="","",IF(COUNTIF('Feriados'!$A$5:$A$84,A358)&gt;0,"Feriado",IF(WEEKDAY(A358,2)&gt;5,"Fim de semana","Dia útil")))</f>
        <v>Dia útil</v>
      </c>
      <c r="D358" s="21"/>
      <c r="E358" s="21"/>
      <c r="F358" s="14"/>
      <c r="G358" s="13"/>
      <c r="H358" s="22">
        <f>IF(AND(ISNUMBER(D358),ISNUMBER(E358)),ROUND(MOD(E358-D358,1)*24-N(F358)/60,2),0)</f>
        <v>0</v>
      </c>
      <c r="I358" s="22">
        <f>IF(C358="Dia útil",'Configurações'!$B$6,0)</f>
        <v>8</v>
      </c>
      <c r="J358" s="22">
        <f>H358+IF(OR(G358="Férias",G358="Atestado médico",G358="Consulta médica",G358="Folga de banco de horas",G358="Viagem a trabalho"),I358,IF(G358="Meio dia de férias",I358/2,0))</f>
        <v>0</v>
      </c>
      <c r="K358" s="23">
        <f>IF(OR(H358&gt;0,G358&lt;&gt;""),J358-I358,0)</f>
        <v>0</v>
      </c>
      <c r="L358" s="13"/>
      <c r="M358" s="20">
        <f>IF(A358="","",MONTH(A358))</f>
        <v>12</v>
      </c>
    </row>
    <row r="359" spans="1:13" x14ac:dyDescent="0.25">
      <c r="A359" s="18">
        <f>IF(YEAR(DATE('Configurações'!$B$5,1,1)+354)='Configurações'!$B$5,DATE('Configurações'!$B$5,1,1)+354,"")</f>
        <v>46742</v>
      </c>
      <c r="B359" s="19">
        <f>A359</f>
        <v>46742</v>
      </c>
      <c r="C359" s="20" t="str">
        <f>IF(A359="","",IF(COUNTIF('Feriados'!$A$5:$A$84,A359)&gt;0,"Feriado",IF(WEEKDAY(A359,2)&gt;5,"Fim de semana","Dia útil")))</f>
        <v>Dia útil</v>
      </c>
      <c r="D359" s="21"/>
      <c r="E359" s="21"/>
      <c r="F359" s="14"/>
      <c r="G359" s="13"/>
      <c r="H359" s="22">
        <f>IF(AND(ISNUMBER(D359),ISNUMBER(E359)),ROUND(MOD(E359-D359,1)*24-N(F359)/60,2),0)</f>
        <v>0</v>
      </c>
      <c r="I359" s="22">
        <f>IF(C359="Dia útil",'Configurações'!$B$6,0)</f>
        <v>8</v>
      </c>
      <c r="J359" s="22">
        <f>H359+IF(OR(G359="Férias",G359="Atestado médico",G359="Consulta médica",G359="Folga de banco de horas",G359="Viagem a trabalho"),I359,IF(G359="Meio dia de férias",I359/2,0))</f>
        <v>0</v>
      </c>
      <c r="K359" s="23">
        <f>IF(OR(H359&gt;0,G359&lt;&gt;""),J359-I359,0)</f>
        <v>0</v>
      </c>
      <c r="L359" s="13"/>
      <c r="M359" s="20">
        <f>IF(A359="","",MONTH(A359))</f>
        <v>12</v>
      </c>
    </row>
    <row r="360" spans="1:13" x14ac:dyDescent="0.25">
      <c r="A360" s="18">
        <f>IF(YEAR(DATE('Configurações'!$B$5,1,1)+355)='Configurações'!$B$5,DATE('Configurações'!$B$5,1,1)+355,"")</f>
        <v>46743</v>
      </c>
      <c r="B360" s="19">
        <f>A360</f>
        <v>46743</v>
      </c>
      <c r="C360" s="20" t="str">
        <f>IF(A360="","",IF(COUNTIF('Feriados'!$A$5:$A$84,A360)&gt;0,"Feriado",IF(WEEKDAY(A360,2)&gt;5,"Fim de semana","Dia útil")))</f>
        <v>Dia útil</v>
      </c>
      <c r="D360" s="21"/>
      <c r="E360" s="21"/>
      <c r="F360" s="14"/>
      <c r="G360" s="13"/>
      <c r="H360" s="22">
        <f>IF(AND(ISNUMBER(D360),ISNUMBER(E360)),ROUND(MOD(E360-D360,1)*24-N(F360)/60,2),0)</f>
        <v>0</v>
      </c>
      <c r="I360" s="22">
        <f>IF(C360="Dia útil",'Configurações'!$B$6,0)</f>
        <v>8</v>
      </c>
      <c r="J360" s="22">
        <f>H360+IF(OR(G360="Férias",G360="Atestado médico",G360="Consulta médica",G360="Folga de banco de horas",G360="Viagem a trabalho"),I360,IF(G360="Meio dia de férias",I360/2,0))</f>
        <v>0</v>
      </c>
      <c r="K360" s="23">
        <f>IF(OR(H360&gt;0,G360&lt;&gt;""),J360-I360,0)</f>
        <v>0</v>
      </c>
      <c r="L360" s="13"/>
      <c r="M360" s="20">
        <f>IF(A360="","",MONTH(A360))</f>
        <v>12</v>
      </c>
    </row>
    <row r="361" spans="1:13" x14ac:dyDescent="0.25">
      <c r="A361" s="18">
        <f>IF(YEAR(DATE('Configurações'!$B$5,1,1)+356)='Configurações'!$B$5,DATE('Configurações'!$B$5,1,1)+356,"")</f>
        <v>46744</v>
      </c>
      <c r="B361" s="19">
        <f>A361</f>
        <v>46744</v>
      </c>
      <c r="C361" s="20" t="str">
        <f>IF(A361="","",IF(COUNTIF('Feriados'!$A$5:$A$84,A361)&gt;0,"Feriado",IF(WEEKDAY(A361,2)&gt;5,"Fim de semana","Dia útil")))</f>
        <v>Dia útil</v>
      </c>
      <c r="D361" s="21"/>
      <c r="E361" s="21"/>
      <c r="F361" s="14"/>
      <c r="G361" s="13"/>
      <c r="H361" s="22">
        <f>IF(AND(ISNUMBER(D361),ISNUMBER(E361)),ROUND(MOD(E361-D361,1)*24-N(F361)/60,2),0)</f>
        <v>0</v>
      </c>
      <c r="I361" s="22">
        <f>IF(C361="Dia útil",'Configurações'!$B$6,0)</f>
        <v>8</v>
      </c>
      <c r="J361" s="22">
        <f>H361+IF(OR(G361="Férias",G361="Atestado médico",G361="Consulta médica",G361="Folga de banco de horas",G361="Viagem a trabalho"),I361,IF(G361="Meio dia de férias",I361/2,0))</f>
        <v>0</v>
      </c>
      <c r="K361" s="23">
        <f>IF(OR(H361&gt;0,G361&lt;&gt;""),J361-I361,0)</f>
        <v>0</v>
      </c>
      <c r="L361" s="13"/>
      <c r="M361" s="20">
        <f>IF(A361="","",MONTH(A361))</f>
        <v>12</v>
      </c>
    </row>
    <row r="362" spans="1:13" x14ac:dyDescent="0.25">
      <c r="A362" s="18">
        <f>IF(YEAR(DATE('Configurações'!$B$5,1,1)+357)='Configurações'!$B$5,DATE('Configurações'!$B$5,1,1)+357,"")</f>
        <v>46745</v>
      </c>
      <c r="B362" s="19">
        <f>A362</f>
        <v>46745</v>
      </c>
      <c r="C362" s="20" t="str">
        <f>IF(A362="","",IF(COUNTIF('Feriados'!$A$5:$A$84,A362)&gt;0,"Feriado",IF(WEEKDAY(A362,2)&gt;5,"Fim de semana","Dia útil")))</f>
        <v>Dia útil</v>
      </c>
      <c r="D362" s="21"/>
      <c r="E362" s="21"/>
      <c r="F362" s="14"/>
      <c r="G362" s="13"/>
      <c r="H362" s="22">
        <f>IF(AND(ISNUMBER(D362),ISNUMBER(E362)),ROUND(MOD(E362-D362,1)*24-N(F362)/60,2),0)</f>
        <v>0</v>
      </c>
      <c r="I362" s="22">
        <f>IF(C362="Dia útil",'Configurações'!$B$6,0)</f>
        <v>8</v>
      </c>
      <c r="J362" s="22">
        <f>H362+IF(OR(G362="Férias",G362="Atestado médico",G362="Consulta médica",G362="Folga de banco de horas",G362="Viagem a trabalho"),I362,IF(G362="Meio dia de férias",I362/2,0))</f>
        <v>0</v>
      </c>
      <c r="K362" s="23">
        <f>IF(OR(H362&gt;0,G362&lt;&gt;""),J362-I362,0)</f>
        <v>0</v>
      </c>
      <c r="L362" s="13"/>
      <c r="M362" s="20">
        <f>IF(A362="","",MONTH(A362))</f>
        <v>12</v>
      </c>
    </row>
    <row r="363" spans="1:13" x14ac:dyDescent="0.25">
      <c r="A363" s="18">
        <f>IF(YEAR(DATE('Configurações'!$B$5,1,1)+358)='Configurações'!$B$5,DATE('Configurações'!$B$5,1,1)+358,"")</f>
        <v>46746</v>
      </c>
      <c r="B363" s="19">
        <f>A363</f>
        <v>46746</v>
      </c>
      <c r="C363" s="20" t="str">
        <f>IF(A363="","",IF(COUNTIF('Feriados'!$A$5:$A$84,A363)&gt;0,"Feriado",IF(WEEKDAY(A363,2)&gt;5,"Fim de semana","Dia útil")))</f>
        <v>Feriado</v>
      </c>
      <c r="D363" s="21"/>
      <c r="E363" s="21"/>
      <c r="F363" s="14"/>
      <c r="G363" s="13"/>
      <c r="H363" s="22">
        <f>IF(AND(ISNUMBER(D363),ISNUMBER(E363)),ROUND(MOD(E363-D363,1)*24-N(F363)/60,2),0)</f>
        <v>0</v>
      </c>
      <c r="I363" s="22">
        <f>IF(C363="Dia útil",'Configurações'!$B$6,0)</f>
        <v>0</v>
      </c>
      <c r="J363" s="22">
        <f>H363+IF(OR(G363="Férias",G363="Atestado médico",G363="Consulta médica",G363="Folga de banco de horas",G363="Viagem a trabalho"),I363,IF(G363="Meio dia de férias",I363/2,0))</f>
        <v>0</v>
      </c>
      <c r="K363" s="23">
        <f>IF(OR(H363&gt;0,G363&lt;&gt;""),J363-I363,0)</f>
        <v>0</v>
      </c>
      <c r="L363" s="13"/>
      <c r="M363" s="20">
        <f>IF(A363="","",MONTH(A363))</f>
        <v>12</v>
      </c>
    </row>
    <row r="364" spans="1:13" x14ac:dyDescent="0.25">
      <c r="A364" s="18">
        <f>IF(YEAR(DATE('Configurações'!$B$5,1,1)+359)='Configurações'!$B$5,DATE('Configurações'!$B$5,1,1)+359,"")</f>
        <v>46747</v>
      </c>
      <c r="B364" s="19">
        <f>A364</f>
        <v>46747</v>
      </c>
      <c r="C364" s="20" t="str">
        <f>IF(A364="","",IF(COUNTIF('Feriados'!$A$5:$A$84,A364)&gt;0,"Feriado",IF(WEEKDAY(A364,2)&gt;5,"Fim de semana","Dia útil")))</f>
        <v>Fim de semana</v>
      </c>
      <c r="D364" s="21"/>
      <c r="E364" s="21"/>
      <c r="F364" s="14"/>
      <c r="G364" s="13"/>
      <c r="H364" s="22">
        <f>IF(AND(ISNUMBER(D364),ISNUMBER(E364)),ROUND(MOD(E364-D364,1)*24-N(F364)/60,2),0)</f>
        <v>0</v>
      </c>
      <c r="I364" s="22">
        <f>IF(C364="Dia útil",'Configurações'!$B$6,0)</f>
        <v>0</v>
      </c>
      <c r="J364" s="22">
        <f>H364+IF(OR(G364="Férias",G364="Atestado médico",G364="Consulta médica",G364="Folga de banco de horas",G364="Viagem a trabalho"),I364,IF(G364="Meio dia de férias",I364/2,0))</f>
        <v>0</v>
      </c>
      <c r="K364" s="23">
        <f>IF(OR(H364&gt;0,G364&lt;&gt;""),J364-I364,0)</f>
        <v>0</v>
      </c>
      <c r="L364" s="13"/>
      <c r="M364" s="20">
        <f>IF(A364="","",MONTH(A364))</f>
        <v>12</v>
      </c>
    </row>
    <row r="365" spans="1:13" x14ac:dyDescent="0.25">
      <c r="A365" s="18">
        <f>IF(YEAR(DATE('Configurações'!$B$5,1,1)+360)='Configurações'!$B$5,DATE('Configurações'!$B$5,1,1)+360,"")</f>
        <v>46748</v>
      </c>
      <c r="B365" s="19">
        <f>A365</f>
        <v>46748</v>
      </c>
      <c r="C365" s="20" t="str">
        <f>IF(A365="","",IF(COUNTIF('Feriados'!$A$5:$A$84,A365)&gt;0,"Feriado",IF(WEEKDAY(A365,2)&gt;5,"Fim de semana","Dia útil")))</f>
        <v>Dia útil</v>
      </c>
      <c r="D365" s="21"/>
      <c r="E365" s="21"/>
      <c r="F365" s="14"/>
      <c r="G365" s="13"/>
      <c r="H365" s="22">
        <f>IF(AND(ISNUMBER(D365),ISNUMBER(E365)),ROUND(MOD(E365-D365,1)*24-N(F365)/60,2),0)</f>
        <v>0</v>
      </c>
      <c r="I365" s="22">
        <f>IF(C365="Dia útil",'Configurações'!$B$6,0)</f>
        <v>8</v>
      </c>
      <c r="J365" s="22">
        <f>H365+IF(OR(G365="Férias",G365="Atestado médico",G365="Consulta médica",G365="Folga de banco de horas",G365="Viagem a trabalho"),I365,IF(G365="Meio dia de férias",I365/2,0))</f>
        <v>0</v>
      </c>
      <c r="K365" s="23">
        <f>IF(OR(H365&gt;0,G365&lt;&gt;""),J365-I365,0)</f>
        <v>0</v>
      </c>
      <c r="L365" s="13"/>
      <c r="M365" s="20">
        <f>IF(A365="","",MONTH(A365))</f>
        <v>12</v>
      </c>
    </row>
    <row r="366" spans="1:13" x14ac:dyDescent="0.25">
      <c r="A366" s="18">
        <f>IF(YEAR(DATE('Configurações'!$B$5,1,1)+361)='Configurações'!$B$5,DATE('Configurações'!$B$5,1,1)+361,"")</f>
        <v>46749</v>
      </c>
      <c r="B366" s="19">
        <f>A366</f>
        <v>46749</v>
      </c>
      <c r="C366" s="20" t="str">
        <f>IF(A366="","",IF(COUNTIF('Feriados'!$A$5:$A$84,A366)&gt;0,"Feriado",IF(WEEKDAY(A366,2)&gt;5,"Fim de semana","Dia útil")))</f>
        <v>Dia útil</v>
      </c>
      <c r="D366" s="21"/>
      <c r="E366" s="21"/>
      <c r="F366" s="14"/>
      <c r="G366" s="13"/>
      <c r="H366" s="22">
        <f>IF(AND(ISNUMBER(D366),ISNUMBER(E366)),ROUND(MOD(E366-D366,1)*24-N(F366)/60,2),0)</f>
        <v>0</v>
      </c>
      <c r="I366" s="22">
        <f>IF(C366="Dia útil",'Configurações'!$B$6,0)</f>
        <v>8</v>
      </c>
      <c r="J366" s="22">
        <f>H366+IF(OR(G366="Férias",G366="Atestado médico",G366="Consulta médica",G366="Folga de banco de horas",G366="Viagem a trabalho"),I366,IF(G366="Meio dia de férias",I366/2,0))</f>
        <v>0</v>
      </c>
      <c r="K366" s="23">
        <f>IF(OR(H366&gt;0,G366&lt;&gt;""),J366-I366,0)</f>
        <v>0</v>
      </c>
      <c r="L366" s="13"/>
      <c r="M366" s="20">
        <f>IF(A366="","",MONTH(A366))</f>
        <v>12</v>
      </c>
    </row>
    <row r="367" spans="1:13" x14ac:dyDescent="0.25">
      <c r="A367" s="18">
        <f>IF(YEAR(DATE('Configurações'!$B$5,1,1)+362)='Configurações'!$B$5,DATE('Configurações'!$B$5,1,1)+362,"")</f>
        <v>46750</v>
      </c>
      <c r="B367" s="19">
        <f>A367</f>
        <v>46750</v>
      </c>
      <c r="C367" s="20" t="str">
        <f>IF(A367="","",IF(COUNTIF('Feriados'!$A$5:$A$84,A367)&gt;0,"Feriado",IF(WEEKDAY(A367,2)&gt;5,"Fim de semana","Dia útil")))</f>
        <v>Dia útil</v>
      </c>
      <c r="D367" s="21"/>
      <c r="E367" s="21"/>
      <c r="F367" s="14"/>
      <c r="G367" s="13"/>
      <c r="H367" s="22">
        <f>IF(AND(ISNUMBER(D367),ISNUMBER(E367)),ROUND(MOD(E367-D367,1)*24-N(F367)/60,2),0)</f>
        <v>0</v>
      </c>
      <c r="I367" s="22">
        <f>IF(C367="Dia útil",'Configurações'!$B$6,0)</f>
        <v>8</v>
      </c>
      <c r="J367" s="22">
        <f>H367+IF(OR(G367="Férias",G367="Atestado médico",G367="Consulta médica",G367="Folga de banco de horas",G367="Viagem a trabalho"),I367,IF(G367="Meio dia de férias",I367/2,0))</f>
        <v>0</v>
      </c>
      <c r="K367" s="23">
        <f>IF(OR(H367&gt;0,G367&lt;&gt;""),J367-I367,0)</f>
        <v>0</v>
      </c>
      <c r="L367" s="13"/>
      <c r="M367" s="20">
        <f>IF(A367="","",MONTH(A367))</f>
        <v>12</v>
      </c>
    </row>
    <row r="368" spans="1:13" x14ac:dyDescent="0.25">
      <c r="A368" s="18">
        <f>IF(YEAR(DATE('Configurações'!$B$5,1,1)+363)='Configurações'!$B$5,DATE('Configurações'!$B$5,1,1)+363,"")</f>
        <v>46751</v>
      </c>
      <c r="B368" s="19">
        <f>A368</f>
        <v>46751</v>
      </c>
      <c r="C368" s="20" t="str">
        <f>IF(A368="","",IF(COUNTIF('Feriados'!$A$5:$A$84,A368)&gt;0,"Feriado",IF(WEEKDAY(A368,2)&gt;5,"Fim de semana","Dia útil")))</f>
        <v>Dia útil</v>
      </c>
      <c r="D368" s="21"/>
      <c r="E368" s="21"/>
      <c r="F368" s="14"/>
      <c r="G368" s="13"/>
      <c r="H368" s="22">
        <f>IF(AND(ISNUMBER(D368),ISNUMBER(E368)),ROUND(MOD(E368-D368,1)*24-N(F368)/60,2),0)</f>
        <v>0</v>
      </c>
      <c r="I368" s="22">
        <f>IF(C368="Dia útil",'Configurações'!$B$6,0)</f>
        <v>8</v>
      </c>
      <c r="J368" s="22">
        <f>H368+IF(OR(G368="Férias",G368="Atestado médico",G368="Consulta médica",G368="Folga de banco de horas",G368="Viagem a trabalho"),I368,IF(G368="Meio dia de férias",I368/2,0))</f>
        <v>0</v>
      </c>
      <c r="K368" s="23">
        <f>IF(OR(H368&gt;0,G368&lt;&gt;""),J368-I368,0)</f>
        <v>0</v>
      </c>
      <c r="L368" s="13"/>
      <c r="M368" s="20">
        <f>IF(A368="","",MONTH(A368))</f>
        <v>12</v>
      </c>
    </row>
    <row r="369" spans="1:13" x14ac:dyDescent="0.25">
      <c r="A369" s="18">
        <f>IF(YEAR(DATE('Configurações'!$B$5,1,1)+364)='Configurações'!$B$5,DATE('Configurações'!$B$5,1,1)+364,"")</f>
        <v>46752</v>
      </c>
      <c r="B369" s="19">
        <f>A369</f>
        <v>46752</v>
      </c>
      <c r="C369" s="20" t="str">
        <f>IF(A369="","",IF(COUNTIF('Feriados'!$A$5:$A$84,A369)&gt;0,"Feriado",IF(WEEKDAY(A369,2)&gt;5,"Fim de semana","Dia útil")))</f>
        <v>Dia útil</v>
      </c>
      <c r="D369" s="21"/>
      <c r="E369" s="21"/>
      <c r="F369" s="14"/>
      <c r="G369" s="13"/>
      <c r="H369" s="22">
        <f>IF(AND(ISNUMBER(D369),ISNUMBER(E369)),ROUND(MOD(E369-D369,1)*24-N(F369)/60,2),0)</f>
        <v>0</v>
      </c>
      <c r="I369" s="22">
        <f>IF(C369="Dia útil",'Configurações'!$B$6,0)</f>
        <v>8</v>
      </c>
      <c r="J369" s="22">
        <f>H369+IF(OR(G369="Férias",G369="Atestado médico",G369="Consulta médica",G369="Folga de banco de horas",G369="Viagem a trabalho"),I369,IF(G369="Meio dia de férias",I369/2,0))</f>
        <v>0</v>
      </c>
      <c r="K369" s="23">
        <f>IF(OR(H369&gt;0,G369&lt;&gt;""),J369-I369,0)</f>
        <v>0</v>
      </c>
      <c r="L369" s="13"/>
      <c r="M369" s="20">
        <f>IF(A369="","",MONTH(A369))</f>
        <v>12</v>
      </c>
    </row>
    <row r="370" spans="1:13" x14ac:dyDescent="0.25">
      <c r="A370" s="18" t="str">
        <f>IF(YEAR(DATE('Configurações'!$B$5,1,1)+365)='Configurações'!$B$5,DATE('Configurações'!$B$5,1,1)+365,"")</f>
        <v/>
      </c>
      <c r="B370" s="19" t="str">
        <f>A370</f>
        <v/>
      </c>
      <c r="C370" s="20" t="str">
        <f>IF(A370="","",IF(COUNTIF('Feriados'!$A$5:$A$84,A370)&gt;0,"Feriado",IF(WEEKDAY(A370,2)&gt;5,"Fim de semana","Dia útil")))</f>
        <v/>
      </c>
      <c r="D370" s="21"/>
      <c r="E370" s="21"/>
      <c r="F370" s="14"/>
      <c r="G370" s="13"/>
      <c r="H370" s="22">
        <f>IF(AND(ISNUMBER(D370),ISNUMBER(E370)),ROUND(MOD(E370-D370,1)*24-N(F370)/60,2),0)</f>
        <v>0</v>
      </c>
      <c r="I370" s="22">
        <f>IF(C370="Dia útil",'Configurações'!$B$6,0)</f>
        <v>0</v>
      </c>
      <c r="J370" s="22">
        <f>H370+IF(OR(G370="Férias",G370="Atestado médico",G370="Consulta médica",G370="Folga de banco de horas",G370="Viagem a trabalho"),I370,IF(G370="Meio dia de férias",I370/2,0))</f>
        <v>0</v>
      </c>
      <c r="K370" s="23">
        <f>IF(OR(H370&gt;0,G370&lt;&gt;""),J370-I370,0)</f>
        <v>0</v>
      </c>
      <c r="L370" s="13"/>
      <c r="M370" s="20" t="str">
        <f>IF(A370="","",MONTH(A370))</f>
        <v/>
      </c>
    </row>
  </sheetData>
  <sheetProtection sheet="1" formatColumns="0" formatRows="0" sort="0" autoFilter="0"/>
  <autoFilter ref="A4:L370"/>
  <mergeCells count="2">
    <mergeCell ref="A1:L1"/>
    <mergeCell ref="A2:L2"/>
  </mergeCells>
  <conditionalFormatting sqref="A5:L370">
    <cfRule type="expression" dxfId="0" priority="1">
      <formula>$C5="Feriado"</formula>
    </cfRule>
    <cfRule type="expression" dxfId="1" priority="2">
      <formula>$C5="Fim de semana"</formula>
    </cfRule>
    <cfRule type="expression" dxfId="2" priority="3">
      <formula>$G5&lt;&gt;""</formula>
    </cfRule>
  </conditionalFormatting>
  <conditionalFormatting sqref="K5:K370">
    <cfRule type="cellIs" dxfId="3" priority="4" operator="greaterThan">
      <formula>0</formula>
    </cfRule>
    <cfRule type="cellIs" dxfId="4" priority="5" operator="lessThan">
      <formula>0</formula>
    </cfRule>
  </conditionalFormatting>
  <dataValidations count="2">
    <dataValidation type="decimal" allowBlank="1" sqref="D5:E370">
      <formula1>0</formula1>
      <formula2>0.99999</formula2>
    </dataValidation>
    <dataValidation type="list" allowBlank="1" showErrorMessage="1" error="Ausência" sqref="G5:G370">
      <formula1>"Férias,Meio dia de férias,Atestado médico,Consulta médica,Folga de banco de horas,Licença não remunerada,Viagem a trabalho"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H23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6" customWidth="1"/>
    <col min="2" max="2" width="13" customWidth="1"/>
    <col min="3" max="3" width="12" customWidth="1"/>
    <col min="4" max="5" width="15" customWidth="1"/>
    <col min="6" max="6" width="13" customWidth="1"/>
    <col min="7" max="7" width="15" customWidth="1"/>
    <col min="8" max="8" width="12" customWidth="1"/>
  </cols>
  <sheetData>
    <row r="1" ht="34" customHeight="1" spans="1:8" x14ac:dyDescent="0.25">
      <c r="A1" s="9" t="s">
        <v>49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15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8" x14ac:dyDescent="0.25">
      <c r="A4" s="16" t="s">
        <v>48</v>
      </c>
      <c r="B4" s="16" t="s">
        <v>50</v>
      </c>
      <c r="C4" s="16" t="s">
        <v>44</v>
      </c>
      <c r="D4" s="16" t="s">
        <v>43</v>
      </c>
      <c r="E4" s="16" t="s">
        <v>45</v>
      </c>
      <c r="F4" s="16" t="s">
        <v>46</v>
      </c>
      <c r="G4" s="16" t="s">
        <v>51</v>
      </c>
      <c r="H4" s="16" t="s">
        <v>52</v>
      </c>
    </row>
    <row r="5" spans="1:8" x14ac:dyDescent="0.25">
      <c r="A5" s="12" t="s">
        <v>53</v>
      </c>
      <c r="B5" s="24">
        <f>COUNTIFS('Controle de ponto'!$M$5:$M$370,1,'Controle de ponto'!$C$5:$C$370,"Dia útil")</f>
        <v>20</v>
      </c>
      <c r="C5" s="25">
        <f>SUMIFS('Controle de ponto'!$I$5:$I$370,'Controle de ponto'!$M$5:$M$370,1)</f>
        <v>160</v>
      </c>
      <c r="D5" s="26">
        <f>SUMIFS('Controle de ponto'!$H$5:$H$370,'Controle de ponto'!$M$5:$M$370,1)</f>
        <v>0</v>
      </c>
      <c r="E5" s="26">
        <f>SUMIFS('Controle de ponto'!$J$5:$J$370,'Controle de ponto'!$M$5:$M$370,1)</f>
        <v>0</v>
      </c>
      <c r="F5" s="27">
        <f>SUMIFS('Controle de ponto'!$K$5:$K$370,'Controle de ponto'!$M$5:$M$370,1)</f>
        <v>0</v>
      </c>
      <c r="G5" s="26">
        <f>COUNTIFS('Controle de ponto'!$M$5:$M$370,1,'Controle de ponto'!$G$5:$G$370,"Férias")+COUNTIFS('Controle de ponto'!$M$5:$M$370,1,'Controle de ponto'!$G$5:$G$370,"Meio dia de férias")/2</f>
        <v>0</v>
      </c>
      <c r="H5" s="28">
        <f>COUNTIFS('Controle de ponto'!$M$5:$M$370,1,'Controle de ponto'!$G$5:$G$370,"Atestado médico")</f>
        <v>0</v>
      </c>
    </row>
    <row r="6" spans="1:8" x14ac:dyDescent="0.25">
      <c r="A6" s="12" t="s">
        <v>54</v>
      </c>
      <c r="B6" s="24">
        <f>COUNTIFS('Controle de ponto'!$M$5:$M$370,2,'Controle de ponto'!$C$5:$C$370,"Dia útil")</f>
        <v>20</v>
      </c>
      <c r="C6" s="25">
        <f>SUMIFS('Controle de ponto'!$I$5:$I$370,'Controle de ponto'!$M$5:$M$370,2)</f>
        <v>160</v>
      </c>
      <c r="D6" s="26">
        <f>SUMIFS('Controle de ponto'!$H$5:$H$370,'Controle de ponto'!$M$5:$M$370,2)</f>
        <v>0</v>
      </c>
      <c r="E6" s="26">
        <f>SUMIFS('Controle de ponto'!$J$5:$J$370,'Controle de ponto'!$M$5:$M$370,2)</f>
        <v>0</v>
      </c>
      <c r="F6" s="27">
        <f>SUMIFS('Controle de ponto'!$K$5:$K$370,'Controle de ponto'!$M$5:$M$370,2)</f>
        <v>0</v>
      </c>
      <c r="G6" s="26">
        <f>COUNTIFS('Controle de ponto'!$M$5:$M$370,2,'Controle de ponto'!$G$5:$G$370,"Férias")+COUNTIFS('Controle de ponto'!$M$5:$M$370,2,'Controle de ponto'!$G$5:$G$370,"Meio dia de férias")/2</f>
        <v>0</v>
      </c>
      <c r="H6" s="28">
        <f>COUNTIFS('Controle de ponto'!$M$5:$M$370,2,'Controle de ponto'!$G$5:$G$370,"Atestado médico")</f>
        <v>0</v>
      </c>
    </row>
    <row r="7" spans="1:8" x14ac:dyDescent="0.25">
      <c r="A7" s="12" t="s">
        <v>55</v>
      </c>
      <c r="B7" s="24">
        <f>COUNTIFS('Controle de ponto'!$M$5:$M$370,3,'Controle de ponto'!$C$5:$C$370,"Dia útil")</f>
        <v>22</v>
      </c>
      <c r="C7" s="25">
        <f>SUMIFS('Controle de ponto'!$I$5:$I$370,'Controle de ponto'!$M$5:$M$370,3)</f>
        <v>176</v>
      </c>
      <c r="D7" s="26">
        <f>SUMIFS('Controle de ponto'!$H$5:$H$370,'Controle de ponto'!$M$5:$M$370,3)</f>
        <v>0</v>
      </c>
      <c r="E7" s="26">
        <f>SUMIFS('Controle de ponto'!$J$5:$J$370,'Controle de ponto'!$M$5:$M$370,3)</f>
        <v>0</v>
      </c>
      <c r="F7" s="27">
        <f>SUMIFS('Controle de ponto'!$K$5:$K$370,'Controle de ponto'!$M$5:$M$370,3)</f>
        <v>0</v>
      </c>
      <c r="G7" s="26">
        <f>COUNTIFS('Controle de ponto'!$M$5:$M$370,3,'Controle de ponto'!$G$5:$G$370,"Férias")+COUNTIFS('Controle de ponto'!$M$5:$M$370,3,'Controle de ponto'!$G$5:$G$370,"Meio dia de férias")/2</f>
        <v>0</v>
      </c>
      <c r="H7" s="28">
        <f>COUNTIFS('Controle de ponto'!$M$5:$M$370,3,'Controle de ponto'!$G$5:$G$370,"Atestado médico")</f>
        <v>0</v>
      </c>
    </row>
    <row r="8" spans="1:8" x14ac:dyDescent="0.25">
      <c r="A8" s="12" t="s">
        <v>56</v>
      </c>
      <c r="B8" s="24">
        <f>COUNTIFS('Controle de ponto'!$M$5:$M$370,4,'Controle de ponto'!$C$5:$C$370,"Dia útil")</f>
        <v>21</v>
      </c>
      <c r="C8" s="25">
        <f>SUMIFS('Controle de ponto'!$I$5:$I$370,'Controle de ponto'!$M$5:$M$370,4)</f>
        <v>168</v>
      </c>
      <c r="D8" s="26">
        <f>SUMIFS('Controle de ponto'!$H$5:$H$370,'Controle de ponto'!$M$5:$M$370,4)</f>
        <v>0</v>
      </c>
      <c r="E8" s="26">
        <f>SUMIFS('Controle de ponto'!$J$5:$J$370,'Controle de ponto'!$M$5:$M$370,4)</f>
        <v>0</v>
      </c>
      <c r="F8" s="27">
        <f>SUMIFS('Controle de ponto'!$K$5:$K$370,'Controle de ponto'!$M$5:$M$370,4)</f>
        <v>0</v>
      </c>
      <c r="G8" s="26">
        <f>COUNTIFS('Controle de ponto'!$M$5:$M$370,4,'Controle de ponto'!$G$5:$G$370,"Férias")+COUNTIFS('Controle de ponto'!$M$5:$M$370,4,'Controle de ponto'!$G$5:$G$370,"Meio dia de férias")/2</f>
        <v>0</v>
      </c>
      <c r="H8" s="28">
        <f>COUNTIFS('Controle de ponto'!$M$5:$M$370,4,'Controle de ponto'!$G$5:$G$370,"Atestado médico")</f>
        <v>0</v>
      </c>
    </row>
    <row r="9" spans="1:8" x14ac:dyDescent="0.25">
      <c r="A9" s="12" t="s">
        <v>57</v>
      </c>
      <c r="B9" s="24">
        <f>COUNTIFS('Controle de ponto'!$M$5:$M$370,5,'Controle de ponto'!$C$5:$C$370,"Dia útil")</f>
        <v>21</v>
      </c>
      <c r="C9" s="25">
        <f>SUMIFS('Controle de ponto'!$I$5:$I$370,'Controle de ponto'!$M$5:$M$370,5)</f>
        <v>168</v>
      </c>
      <c r="D9" s="26">
        <f>SUMIFS('Controle de ponto'!$H$5:$H$370,'Controle de ponto'!$M$5:$M$370,5)</f>
        <v>0</v>
      </c>
      <c r="E9" s="26">
        <f>SUMIFS('Controle de ponto'!$J$5:$J$370,'Controle de ponto'!$M$5:$M$370,5)</f>
        <v>0</v>
      </c>
      <c r="F9" s="27">
        <f>SUMIFS('Controle de ponto'!$K$5:$K$370,'Controle de ponto'!$M$5:$M$370,5)</f>
        <v>0</v>
      </c>
      <c r="G9" s="26">
        <f>COUNTIFS('Controle de ponto'!$M$5:$M$370,5,'Controle de ponto'!$G$5:$G$370,"Férias")+COUNTIFS('Controle de ponto'!$M$5:$M$370,5,'Controle de ponto'!$G$5:$G$370,"Meio dia de férias")/2</f>
        <v>0</v>
      </c>
      <c r="H9" s="28">
        <f>COUNTIFS('Controle de ponto'!$M$5:$M$370,5,'Controle de ponto'!$G$5:$G$370,"Atestado médico")</f>
        <v>0</v>
      </c>
    </row>
    <row r="10" spans="1:8" x14ac:dyDescent="0.25">
      <c r="A10" s="12" t="s">
        <v>58</v>
      </c>
      <c r="B10" s="24">
        <f>COUNTIFS('Controle de ponto'!$M$5:$M$370,6,'Controle de ponto'!$C$5:$C$370,"Dia útil")</f>
        <v>22</v>
      </c>
      <c r="C10" s="25">
        <f>SUMIFS('Controle de ponto'!$I$5:$I$370,'Controle de ponto'!$M$5:$M$370,6)</f>
        <v>176</v>
      </c>
      <c r="D10" s="26">
        <f>SUMIFS('Controle de ponto'!$H$5:$H$370,'Controle de ponto'!$M$5:$M$370,6)</f>
        <v>0</v>
      </c>
      <c r="E10" s="26">
        <f>SUMIFS('Controle de ponto'!$J$5:$J$370,'Controle de ponto'!$M$5:$M$370,6)</f>
        <v>0</v>
      </c>
      <c r="F10" s="27">
        <f>SUMIFS('Controle de ponto'!$K$5:$K$370,'Controle de ponto'!$M$5:$M$370,6)</f>
        <v>0</v>
      </c>
      <c r="G10" s="26">
        <f>COUNTIFS('Controle de ponto'!$M$5:$M$370,6,'Controle de ponto'!$G$5:$G$370,"Férias")+COUNTIFS('Controle de ponto'!$M$5:$M$370,6,'Controle de ponto'!$G$5:$G$370,"Meio dia de férias")/2</f>
        <v>0</v>
      </c>
      <c r="H10" s="28">
        <f>COUNTIFS('Controle de ponto'!$M$5:$M$370,6,'Controle de ponto'!$G$5:$G$370,"Atestado médico")</f>
        <v>0</v>
      </c>
    </row>
    <row r="11" spans="1:8" x14ac:dyDescent="0.25">
      <c r="A11" s="12" t="s">
        <v>59</v>
      </c>
      <c r="B11" s="24">
        <f>COUNTIFS('Controle de ponto'!$M$5:$M$370,7,'Controle de ponto'!$C$5:$C$370,"Dia útil")</f>
        <v>22</v>
      </c>
      <c r="C11" s="25">
        <f>SUMIFS('Controle de ponto'!$I$5:$I$370,'Controle de ponto'!$M$5:$M$370,7)</f>
        <v>176</v>
      </c>
      <c r="D11" s="26">
        <f>SUMIFS('Controle de ponto'!$H$5:$H$370,'Controle de ponto'!$M$5:$M$370,7)</f>
        <v>0</v>
      </c>
      <c r="E11" s="26">
        <f>SUMIFS('Controle de ponto'!$J$5:$J$370,'Controle de ponto'!$M$5:$M$370,7)</f>
        <v>0</v>
      </c>
      <c r="F11" s="27">
        <f>SUMIFS('Controle de ponto'!$K$5:$K$370,'Controle de ponto'!$M$5:$M$370,7)</f>
        <v>0</v>
      </c>
      <c r="G11" s="26">
        <f>COUNTIFS('Controle de ponto'!$M$5:$M$370,7,'Controle de ponto'!$G$5:$G$370,"Férias")+COUNTIFS('Controle de ponto'!$M$5:$M$370,7,'Controle de ponto'!$G$5:$G$370,"Meio dia de férias")/2</f>
        <v>0</v>
      </c>
      <c r="H11" s="28">
        <f>COUNTIFS('Controle de ponto'!$M$5:$M$370,7,'Controle de ponto'!$G$5:$G$370,"Atestado médico")</f>
        <v>0</v>
      </c>
    </row>
    <row r="12" spans="1:8" x14ac:dyDescent="0.25">
      <c r="A12" s="12" t="s">
        <v>60</v>
      </c>
      <c r="B12" s="24">
        <f>COUNTIFS('Controle de ponto'!$M$5:$M$370,8,'Controle de ponto'!$C$5:$C$370,"Dia útil")</f>
        <v>22</v>
      </c>
      <c r="C12" s="25">
        <f>SUMIFS('Controle de ponto'!$I$5:$I$370,'Controle de ponto'!$M$5:$M$370,8)</f>
        <v>176</v>
      </c>
      <c r="D12" s="26">
        <f>SUMIFS('Controle de ponto'!$H$5:$H$370,'Controle de ponto'!$M$5:$M$370,8)</f>
        <v>0</v>
      </c>
      <c r="E12" s="26">
        <f>SUMIFS('Controle de ponto'!$J$5:$J$370,'Controle de ponto'!$M$5:$M$370,8)</f>
        <v>0</v>
      </c>
      <c r="F12" s="27">
        <f>SUMIFS('Controle de ponto'!$K$5:$K$370,'Controle de ponto'!$M$5:$M$370,8)</f>
        <v>0</v>
      </c>
      <c r="G12" s="26">
        <f>COUNTIFS('Controle de ponto'!$M$5:$M$370,8,'Controle de ponto'!$G$5:$G$370,"Férias")+COUNTIFS('Controle de ponto'!$M$5:$M$370,8,'Controle de ponto'!$G$5:$G$370,"Meio dia de férias")/2</f>
        <v>0</v>
      </c>
      <c r="H12" s="28">
        <f>COUNTIFS('Controle de ponto'!$M$5:$M$370,8,'Controle de ponto'!$G$5:$G$370,"Atestado médico")</f>
        <v>0</v>
      </c>
    </row>
    <row r="13" spans="1:8" x14ac:dyDescent="0.25">
      <c r="A13" s="12" t="s">
        <v>61</v>
      </c>
      <c r="B13" s="24">
        <f>COUNTIFS('Controle de ponto'!$M$5:$M$370,9,'Controle de ponto'!$C$5:$C$370,"Dia útil")</f>
        <v>21</v>
      </c>
      <c r="C13" s="25">
        <f>SUMIFS('Controle de ponto'!$I$5:$I$370,'Controle de ponto'!$M$5:$M$370,9)</f>
        <v>168</v>
      </c>
      <c r="D13" s="26">
        <f>SUMIFS('Controle de ponto'!$H$5:$H$370,'Controle de ponto'!$M$5:$M$370,9)</f>
        <v>0</v>
      </c>
      <c r="E13" s="26">
        <f>SUMIFS('Controle de ponto'!$J$5:$J$370,'Controle de ponto'!$M$5:$M$370,9)</f>
        <v>0</v>
      </c>
      <c r="F13" s="27">
        <f>SUMIFS('Controle de ponto'!$K$5:$K$370,'Controle de ponto'!$M$5:$M$370,9)</f>
        <v>0</v>
      </c>
      <c r="G13" s="26">
        <f>COUNTIFS('Controle de ponto'!$M$5:$M$370,9,'Controle de ponto'!$G$5:$G$370,"Férias")+COUNTIFS('Controle de ponto'!$M$5:$M$370,9,'Controle de ponto'!$G$5:$G$370,"Meio dia de férias")/2</f>
        <v>0</v>
      </c>
      <c r="H13" s="28">
        <f>COUNTIFS('Controle de ponto'!$M$5:$M$370,9,'Controle de ponto'!$G$5:$G$370,"Atestado médico")</f>
        <v>0</v>
      </c>
    </row>
    <row r="14" spans="1:8" x14ac:dyDescent="0.25">
      <c r="A14" s="12" t="s">
        <v>62</v>
      </c>
      <c r="B14" s="24">
        <f>COUNTIFS('Controle de ponto'!$M$5:$M$370,10,'Controle de ponto'!$C$5:$C$370,"Dia útil")</f>
        <v>20</v>
      </c>
      <c r="C14" s="25">
        <f>SUMIFS('Controle de ponto'!$I$5:$I$370,'Controle de ponto'!$M$5:$M$370,10)</f>
        <v>160</v>
      </c>
      <c r="D14" s="26">
        <f>SUMIFS('Controle de ponto'!$H$5:$H$370,'Controle de ponto'!$M$5:$M$370,10)</f>
        <v>0</v>
      </c>
      <c r="E14" s="26">
        <f>SUMIFS('Controle de ponto'!$J$5:$J$370,'Controle de ponto'!$M$5:$M$370,10)</f>
        <v>0</v>
      </c>
      <c r="F14" s="27">
        <f>SUMIFS('Controle de ponto'!$K$5:$K$370,'Controle de ponto'!$M$5:$M$370,10)</f>
        <v>0</v>
      </c>
      <c r="G14" s="26">
        <f>COUNTIFS('Controle de ponto'!$M$5:$M$370,10,'Controle de ponto'!$G$5:$G$370,"Férias")+COUNTIFS('Controle de ponto'!$M$5:$M$370,10,'Controle de ponto'!$G$5:$G$370,"Meio dia de férias")/2</f>
        <v>0</v>
      </c>
      <c r="H14" s="28">
        <f>COUNTIFS('Controle de ponto'!$M$5:$M$370,10,'Controle de ponto'!$G$5:$G$370,"Atestado médico")</f>
        <v>0</v>
      </c>
    </row>
    <row r="15" spans="1:8" x14ac:dyDescent="0.25">
      <c r="A15" s="12" t="s">
        <v>63</v>
      </c>
      <c r="B15" s="24">
        <f>COUNTIFS('Controle de ponto'!$M$5:$M$370,11,'Controle de ponto'!$C$5:$C$370,"Dia útil")</f>
        <v>20</v>
      </c>
      <c r="C15" s="25">
        <f>SUMIFS('Controle de ponto'!$I$5:$I$370,'Controle de ponto'!$M$5:$M$370,11)</f>
        <v>160</v>
      </c>
      <c r="D15" s="26">
        <f>SUMIFS('Controle de ponto'!$H$5:$H$370,'Controle de ponto'!$M$5:$M$370,11)</f>
        <v>0</v>
      </c>
      <c r="E15" s="26">
        <f>SUMIFS('Controle de ponto'!$J$5:$J$370,'Controle de ponto'!$M$5:$M$370,11)</f>
        <v>0</v>
      </c>
      <c r="F15" s="27">
        <f>SUMIFS('Controle de ponto'!$K$5:$K$370,'Controle de ponto'!$M$5:$M$370,11)</f>
        <v>0</v>
      </c>
      <c r="G15" s="26">
        <f>COUNTIFS('Controle de ponto'!$M$5:$M$370,11,'Controle de ponto'!$G$5:$G$370,"Férias")+COUNTIFS('Controle de ponto'!$M$5:$M$370,11,'Controle de ponto'!$G$5:$G$370,"Meio dia de férias")/2</f>
        <v>0</v>
      </c>
      <c r="H15" s="28">
        <f>COUNTIFS('Controle de ponto'!$M$5:$M$370,11,'Controle de ponto'!$G$5:$G$370,"Atestado médico")</f>
        <v>0</v>
      </c>
    </row>
    <row r="16" spans="1:8" x14ac:dyDescent="0.25">
      <c r="A16" s="12" t="s">
        <v>64</v>
      </c>
      <c r="B16" s="24">
        <f>COUNTIFS('Controle de ponto'!$M$5:$M$370,12,'Controle de ponto'!$C$5:$C$370,"Dia útil")</f>
        <v>23</v>
      </c>
      <c r="C16" s="25">
        <f>SUMIFS('Controle de ponto'!$I$5:$I$370,'Controle de ponto'!$M$5:$M$370,12)</f>
        <v>184</v>
      </c>
      <c r="D16" s="26">
        <f>SUMIFS('Controle de ponto'!$H$5:$H$370,'Controle de ponto'!$M$5:$M$370,12)</f>
        <v>0</v>
      </c>
      <c r="E16" s="26">
        <f>SUMIFS('Controle de ponto'!$J$5:$J$370,'Controle de ponto'!$M$5:$M$370,12)</f>
        <v>0</v>
      </c>
      <c r="F16" s="27">
        <f>SUMIFS('Controle de ponto'!$K$5:$K$370,'Controle de ponto'!$M$5:$M$370,12)</f>
        <v>0</v>
      </c>
      <c r="G16" s="26">
        <f>COUNTIFS('Controle de ponto'!$M$5:$M$370,12,'Controle de ponto'!$G$5:$G$370,"Férias")+COUNTIFS('Controle de ponto'!$M$5:$M$370,12,'Controle de ponto'!$G$5:$G$370,"Meio dia de férias")/2</f>
        <v>0</v>
      </c>
      <c r="H16" s="28">
        <f>COUNTIFS('Controle de ponto'!$M$5:$M$370,12,'Controle de ponto'!$G$5:$G$370,"Atestado médico")</f>
        <v>0</v>
      </c>
    </row>
    <row r="17" spans="1:8" x14ac:dyDescent="0.25">
      <c r="A17" s="29" t="s">
        <v>65</v>
      </c>
      <c r="B17" s="30">
        <f>SUM(B5:B16)</f>
        <v>254</v>
      </c>
      <c r="C17" s="31">
        <f>SUM(C5:C16)</f>
        <v>2032</v>
      </c>
      <c r="D17" s="32">
        <f>SUM(D5:D16)</f>
        <v>0</v>
      </c>
      <c r="E17" s="32">
        <f>SUM(E5:E16)</f>
        <v>0</v>
      </c>
      <c r="F17" s="33">
        <f>SUM(F5:F16)</f>
        <v>0</v>
      </c>
      <c r="G17" s="32">
        <f>SUM(G5:G16)</f>
        <v>0</v>
      </c>
      <c r="H17" s="34">
        <f>SUM(H5:H16)</f>
        <v>0</v>
      </c>
    </row>
    <row r="19" ht="22" customHeight="1" spans="1:8" x14ac:dyDescent="0.25">
      <c r="A19" s="35" t="s">
        <v>66</v>
      </c>
      <c r="B19" s="36"/>
      <c r="C19" s="36"/>
      <c r="D19" s="36"/>
      <c r="E19" s="36"/>
      <c r="F19" s="36"/>
      <c r="G19" s="36"/>
      <c r="H19" s="36"/>
    </row>
    <row r="20" spans="1:4" x14ac:dyDescent="0.25">
      <c r="A20" s="37" t="s">
        <v>20</v>
      </c>
      <c r="B20" s="37"/>
      <c r="C20" s="37"/>
      <c r="D20" s="25">
        <f>'Configurações'!B7</f>
        <v>20</v>
      </c>
    </row>
    <row r="21" spans="1:4" x14ac:dyDescent="0.25">
      <c r="A21" s="37" t="s">
        <v>21</v>
      </c>
      <c r="B21" s="37"/>
      <c r="C21" s="37"/>
      <c r="D21" s="25">
        <f>'Configurações'!B8</f>
        <v>0</v>
      </c>
    </row>
    <row r="22" spans="1:4" x14ac:dyDescent="0.25">
      <c r="A22" s="37" t="s">
        <v>67</v>
      </c>
      <c r="B22" s="37"/>
      <c r="C22" s="37"/>
      <c r="D22" s="25">
        <f>G17</f>
        <v>0</v>
      </c>
    </row>
    <row r="23" ht="26" customHeight="1" spans="1:4" x14ac:dyDescent="0.25">
      <c r="A23" s="12" t="s">
        <v>66</v>
      </c>
      <c r="B23" s="12"/>
      <c r="C23" s="12"/>
      <c r="D23" s="38">
        <f>D20+D21-D22</f>
        <v>20</v>
      </c>
    </row>
  </sheetData>
  <sheetProtection sheet="1" formatColumns="0" formatRows="0" sort="0" autoFilter="0"/>
  <mergeCells count="6">
    <mergeCell ref="A1:H1"/>
    <mergeCell ref="A2:H2"/>
    <mergeCell ref="A20:C20"/>
    <mergeCell ref="A21:C21"/>
    <mergeCell ref="A22:C22"/>
    <mergeCell ref="A23:C23"/>
  </mergeCells>
  <conditionalFormatting sqref="F5:F17">
    <cfRule type="cellIs" dxfId="5" priority="1" operator="greaterThan">
      <formula>0</formula>
    </cfRule>
    <cfRule type="cellIs" dxfId="6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Instruções</vt:lpstr>
      <vt:lpstr>Configurações</vt:lpstr>
      <vt:lpstr>Feriados</vt:lpstr>
      <vt:lpstr>Controle de ponto</vt:lpstr>
      <vt:lpstr>Resumo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