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lculator" state="visible" r:id="rId5"/>
    <sheet sheetId="3" name="Schedule" state="visible" r:id="rId6"/>
    <sheet sheetId="4" name="By year" state="visible" r:id="rId7"/>
  </sheets>
  <calcPr calcId="171027" fullCalcOnLoad="1"/>
</workbook>
</file>

<file path=xl/sharedStrings.xml><?xml version="1.0" encoding="utf-8"?>
<sst xmlns="http://schemas.openxmlformats.org/spreadsheetml/2006/main" count="43" uniqueCount="38">
  <si>
    <t>Loan repayment schedule</t>
  </si>
  <si>
    <t>A repayment (amortization) schedule for a loan with a fixed rate and equal monthly payments.</t>
  </si>
  <si>
    <t>How to use it</t>
  </si>
  <si>
    <t>On the Calculator sheet enter the loan amount, the yearly interest rate, the term in years and the date of the first payment.</t>
  </si>
  <si>
    <t>If you want to pay more each month, enter the extra amount — the schedule shortens and you see the interest saved.</t>
  </si>
  <si>
    <t>The Schedule sheet lists every payment: interest, principal, extra payment and the balance after it.</t>
  </si>
  <si>
    <t>The By year sheet sums interest and principal per year and draws the charts.</t>
  </si>
  <si>
    <t>Yellow cells are for you to fill in.</t>
  </si>
  <si>
    <t>White cells calculate themselves (they are protected so you don't overwrite a formula — Review → Unprotect sheet, no password).</t>
  </si>
  <si>
    <t>Tips</t>
  </si>
  <si>
    <t>•  Compare offers by the total interest, not only the monthly payment.</t>
  </si>
  <si>
    <t>•  An extra payment early in the loan saves the most interest.</t>
  </si>
  <si>
    <t>•  Fees and insurance are not included — add them to the monthly payment yourself.</t>
  </si>
  <si>
    <t>Free template from Planmero · planmero.com/en/loan-schedule-excel/</t>
  </si>
  <si>
    <t>Loan calculator</t>
  </si>
  <si>
    <t>Enter the amount, interest rate and term: the workbook calculates the monthly payment, splits every payment into interest and principal and shows what an extra payment saves.</t>
  </si>
  <si>
    <t>Loan amount</t>
  </si>
  <si>
    <t>Interest rate per year</t>
  </si>
  <si>
    <t>Term (years)</t>
  </si>
  <si>
    <t>First payment</t>
  </si>
  <si>
    <t>Extra payment per month</t>
  </si>
  <si>
    <t>Monthly payment</t>
  </si>
  <si>
    <t>Total paid</t>
  </si>
  <si>
    <t>Total interest</t>
  </si>
  <si>
    <t>Paid off in</t>
  </si>
  <si>
    <t>Interest saved by extra payments</t>
  </si>
  <si>
    <t>Repayment schedule</t>
  </si>
  <si>
    <t>No.</t>
  </si>
  <si>
    <t>Date</t>
  </si>
  <si>
    <t>Balance before</t>
  </si>
  <si>
    <t>Payment</t>
  </si>
  <si>
    <t>Interest</t>
  </si>
  <si>
    <t>Principal</t>
  </si>
  <si>
    <t>Extra payment</t>
  </si>
  <si>
    <t>Balance after</t>
  </si>
  <si>
    <t>Year</t>
  </si>
  <si>
    <t>By year</t>
  </si>
  <si>
    <t>Principal + extra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</si>
</sst>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-&quot;$&quot;#,##0.00"/>
    <numFmt numFmtId="165" formatCode="0 &quot;months&quot;"/>
  </numFmts>
  <fonts count="14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0F5132"/>
      <sz val="14"/>
      <name val="Calibri"/>
    </font>
    <font>
      <b/>
      <color rgb="FFFFFFFF"/>
      <sz val="10"/>
      <name val="Calibri"/>
    </font>
    <font>
      <color rgb="FF10231A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0" fontId="10" fillId="5" borderId="1" xfId="0" applyNumberFormat="1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4" fontId="10" fillId="5" borderId="1" xfId="0" applyNumberFormat="1" applyFont="1" applyFill="1" applyBorder="1" applyProtection="1">
      <protection locked="0"/>
    </xf>
    <xf numFmtId="164" fontId="11" fillId="3" borderId="4" xfId="0" applyNumberFormat="1" applyFont="1" applyFill="1" applyBorder="1" applyAlignment="1">
      <alignment horizontal="right" vertical="center"/>
    </xf>
    <xf numFmtId="165" fontId="11" fillId="3" borderId="4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center" vertical="center" wrapText="1"/>
    </xf>
    <xf numFmtId="1" fontId="13" fillId="0" borderId="2" xfId="0" applyNumberFormat="1" applyFont="1" applyBorder="1"/>
    <xf numFmtId="14" fontId="13" fillId="0" borderId="2" xfId="0" applyNumberFormat="1" applyFont="1" applyBorder="1"/>
    <xf numFmtId="164" fontId="13" fillId="0" borderId="2" xfId="0" applyNumberFormat="1" applyFont="1" applyBorder="1"/>
    <xf numFmtId="164" fontId="9" fillId="0" borderId="2" xfId="0" applyNumberFormat="1" applyFont="1" applyBorder="1"/>
    <xf numFmtId="1" fontId="9" fillId="0" borderId="2" xfId="0" applyNumberFormat="1" applyFont="1" applyBorder="1"/>
  </cellXfs>
  <cellStyles count="1">
    <cellStyle name="Normal" xfId="0" builtinId="0"/>
  </cellStyles>
  <dxfs count="1">
    <dxf>
      <fill>
        <patternFill patternType="solid">
          <bgColor rgb="FFEAF2ED"/>
        </patternFill>
      </fill>
      <border>
        <left/>
        <right/>
        <top/>
        <bottom style="thin">
          <color rgb="FFD4A72C"/>
        </bottom>
        <diagon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Interest and principal by year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Principal</c:v>
          </c:tx>
          <c:spPr>
            <a:solidFill>
              <a:srgbClr val="12805A"/>
            </a:solidFill>
          </c:spPr>
          <c:invertIfNegative val="0"/>
          <c:cat>
            <c:strRef>
              <c:f>'By year'!$A$5:$A$44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'By year'!$C$5:$C$44</c:f>
              <c:numCache>
                <c:formatCode>General</c:formatCode>
                <c:ptCount val="40"/>
                <c:pt idx="0">
                  <c:v>3353.24</c:v>
                </c:pt>
                <c:pt idx="1">
                  <c:v>3577.83</c:v>
                </c:pt>
                <c:pt idx="2">
                  <c:v>3817.45</c:v>
                </c:pt>
                <c:pt idx="3">
                  <c:v>4073.1</c:v>
                </c:pt>
                <c:pt idx="4">
                  <c:v>4345.88</c:v>
                </c:pt>
                <c:pt idx="5">
                  <c:v>4636.94</c:v>
                </c:pt>
                <c:pt idx="6">
                  <c:v>4947.48</c:v>
                </c:pt>
                <c:pt idx="7">
                  <c:v>5278.83</c:v>
                </c:pt>
                <c:pt idx="8">
                  <c:v>5632.35</c:v>
                </c:pt>
                <c:pt idx="9">
                  <c:v>6009.55</c:v>
                </c:pt>
                <c:pt idx="10">
                  <c:v>6412.03</c:v>
                </c:pt>
                <c:pt idx="11">
                  <c:v>6841.45</c:v>
                </c:pt>
                <c:pt idx="12">
                  <c:v>7299.65</c:v>
                </c:pt>
                <c:pt idx="13">
                  <c:v>7788.52</c:v>
                </c:pt>
                <c:pt idx="14">
                  <c:v>8310.11</c:v>
                </c:pt>
                <c:pt idx="15">
                  <c:v>8866.67</c:v>
                </c:pt>
                <c:pt idx="16">
                  <c:v>9460.48</c:v>
                </c:pt>
                <c:pt idx="17">
                  <c:v>10094.07</c:v>
                </c:pt>
                <c:pt idx="18">
                  <c:v>10770.07</c:v>
                </c:pt>
                <c:pt idx="19">
                  <c:v>11491.39</c:v>
                </c:pt>
                <c:pt idx="20">
                  <c:v>12261</c:v>
                </c:pt>
                <c:pt idx="21">
                  <c:v>13082.14</c:v>
                </c:pt>
                <c:pt idx="22">
                  <c:v>13958.26</c:v>
                </c:pt>
                <c:pt idx="23">
                  <c:v>14893.08</c:v>
                </c:pt>
                <c:pt idx="24">
                  <c:v>15890.5</c:v>
                </c:pt>
                <c:pt idx="25">
                  <c:v>16954.72</c:v>
                </c:pt>
                <c:pt idx="26">
                  <c:v>18090.19</c:v>
                </c:pt>
                <c:pt idx="27">
                  <c:v>19301.72</c:v>
                </c:pt>
                <c:pt idx="28">
                  <c:v>20594.37</c:v>
                </c:pt>
                <c:pt idx="29">
                  <c:v>21966.93</c:v>
                </c:pt>
              </c:numCache>
            </c:numRef>
          </c:val>
        </c:ser>
        <c:ser>
          <c:idx val="1"/>
          <c:order val="1"/>
          <c:tx>
            <c:v>Interest</c:v>
          </c:tx>
          <c:spPr>
            <a:solidFill>
              <a:srgbClr val="D4A72C"/>
            </a:solidFill>
          </c:spPr>
          <c:invertIfNegative val="0"/>
          <c:cat>
            <c:strRef>
              <c:f>'By year'!$A$5:$A$44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'By year'!$B$5:$B$44</c:f>
              <c:numCache>
                <c:formatCode>General</c:formatCode>
                <c:ptCount val="40"/>
                <c:pt idx="0">
                  <c:v>19401.28</c:v>
                </c:pt>
                <c:pt idx="1">
                  <c:v>19176.69</c:v>
                </c:pt>
                <c:pt idx="2">
                  <c:v>18937.07</c:v>
                </c:pt>
                <c:pt idx="3">
                  <c:v>18681.42</c:v>
                </c:pt>
                <c:pt idx="4">
                  <c:v>18408.64</c:v>
                </c:pt>
                <c:pt idx="5">
                  <c:v>18117.58</c:v>
                </c:pt>
                <c:pt idx="6">
                  <c:v>17807.04</c:v>
                </c:pt>
                <c:pt idx="7">
                  <c:v>17475.69</c:v>
                </c:pt>
                <c:pt idx="8">
                  <c:v>17122.17</c:v>
                </c:pt>
                <c:pt idx="9">
                  <c:v>16744.97</c:v>
                </c:pt>
                <c:pt idx="10">
                  <c:v>16342.49</c:v>
                </c:pt>
                <c:pt idx="11">
                  <c:v>15913.07</c:v>
                </c:pt>
                <c:pt idx="12">
                  <c:v>15454.87</c:v>
                </c:pt>
                <c:pt idx="13">
                  <c:v>14966</c:v>
                </c:pt>
                <c:pt idx="14">
                  <c:v>14444.41</c:v>
                </c:pt>
                <c:pt idx="15">
                  <c:v>13887.85</c:v>
                </c:pt>
                <c:pt idx="16">
                  <c:v>13294.04</c:v>
                </c:pt>
                <c:pt idx="17">
                  <c:v>12660.45</c:v>
                </c:pt>
                <c:pt idx="18">
                  <c:v>11984.45</c:v>
                </c:pt>
                <c:pt idx="19">
                  <c:v>11263.13</c:v>
                </c:pt>
                <c:pt idx="20">
                  <c:v>10493.52</c:v>
                </c:pt>
                <c:pt idx="21">
                  <c:v>9672.38</c:v>
                </c:pt>
                <c:pt idx="22">
                  <c:v>8796.26</c:v>
                </c:pt>
                <c:pt idx="23">
                  <c:v>7861.44</c:v>
                </c:pt>
                <c:pt idx="24">
                  <c:v>6864.02</c:v>
                </c:pt>
                <c:pt idx="25">
                  <c:v>5799.8</c:v>
                </c:pt>
                <c:pt idx="26">
                  <c:v>4664.33</c:v>
                </c:pt>
                <c:pt idx="27">
                  <c:v>3452.8</c:v>
                </c:pt>
                <c:pt idx="28">
                  <c:v>2160.15</c:v>
                </c:pt>
                <c:pt idx="29">
                  <c:v>780.89</c:v>
                </c:pt>
              </c:numCache>
            </c:numRef>
          </c:val>
        </c:ser>
        <c:gapWidth val="50"/>
        <c:overlap val="10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Balance at the end of each year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Balance after</c:v>
          </c:tx>
          <c:spPr>
            <a:ln w="28575" cap="rnd">
              <a:solidFill>
                <a:srgbClr val="0F5132"/>
              </a:solidFill>
              <a:round/>
            </a:ln>
          </c:spPr>
          <c:marker>
            <c:symbol val="none"/>
          </c:marker>
          <c:cat>
            <c:strRef>
              <c:f>'By year'!$A$5:$A$44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</c:strCache>
            </c:strRef>
          </c:cat>
          <c:val>
            <c:numRef>
              <c:f>'By year'!$D$5:$D$44</c:f>
              <c:numCache>
                <c:formatCode>General</c:formatCode>
                <c:ptCount val="40"/>
                <c:pt idx="0">
                  <c:v>296646.76</c:v>
                </c:pt>
                <c:pt idx="1">
                  <c:v>293068.93</c:v>
                </c:pt>
                <c:pt idx="2">
                  <c:v>289251.48</c:v>
                </c:pt>
                <c:pt idx="3">
                  <c:v>285178.38</c:v>
                </c:pt>
                <c:pt idx="4">
                  <c:v>280832.5</c:v>
                </c:pt>
                <c:pt idx="5">
                  <c:v>276195.56</c:v>
                </c:pt>
                <c:pt idx="6">
                  <c:v>271248.08</c:v>
                </c:pt>
                <c:pt idx="7">
                  <c:v>265969.25</c:v>
                </c:pt>
                <c:pt idx="8">
                  <c:v>260336.9</c:v>
                </c:pt>
                <c:pt idx="9">
                  <c:v>254327.35</c:v>
                </c:pt>
                <c:pt idx="10">
                  <c:v>247915.32</c:v>
                </c:pt>
                <c:pt idx="11">
                  <c:v>241073.87</c:v>
                </c:pt>
                <c:pt idx="12">
                  <c:v>233774.22</c:v>
                </c:pt>
                <c:pt idx="13">
                  <c:v>225985.7</c:v>
                </c:pt>
                <c:pt idx="14">
                  <c:v>217675.59</c:v>
                </c:pt>
                <c:pt idx="15">
                  <c:v>208808.92</c:v>
                </c:pt>
                <c:pt idx="16">
                  <c:v>199348.44</c:v>
                </c:pt>
                <c:pt idx="17">
                  <c:v>189254.37</c:v>
                </c:pt>
                <c:pt idx="18">
                  <c:v>178484.3</c:v>
                </c:pt>
                <c:pt idx="19">
                  <c:v>166992.91</c:v>
                </c:pt>
                <c:pt idx="20">
                  <c:v>154731.91</c:v>
                </c:pt>
                <c:pt idx="21">
                  <c:v>141649.77</c:v>
                </c:pt>
                <c:pt idx="22">
                  <c:v>127691.51</c:v>
                </c:pt>
                <c:pt idx="23">
                  <c:v>112798.43</c:v>
                </c:pt>
                <c:pt idx="24">
                  <c:v>96907.93</c:v>
                </c:pt>
                <c:pt idx="25">
                  <c:v>79953.21</c:v>
                </c:pt>
                <c:pt idx="26">
                  <c:v>61863.02</c:v>
                </c:pt>
                <c:pt idx="27">
                  <c:v>42561.3</c:v>
                </c:pt>
                <c:pt idx="28">
                  <c:v>21966.93</c:v>
                </c:pt>
              </c:numCache>
            </c:numRef>
          </c:val>
          <c:smooth val="0"/>
        </c:ser>
        <c:marker val="1"/>
        <c:axId val="5001"/>
        <c:axId val="5002"/>
      </c:line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0</xdr:rowOff>
    </xdr:from>
    <xdr:to>
      <xdr:col>16</xdr:col>
      <xdr:colOff>0</xdr:colOff>
      <xdr:row>42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en/loan-schedule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14"/>
  <sheetViews>
    <sheetView workbookViewId="0" showGridLines="0"/>
  </sheetViews>
  <sheetFormatPr defaultRowHeight="18" outlineLevelRow="0" outlineLevelCol="0" x14ac:dyDescent="55" defaultColWidth="12" customHeight="1"/>
  <cols>
    <col min="1" max="1" width="44" customWidth="1"/>
    <col min="2" max="2" width="22" customWidth="1"/>
    <col min="3" max="3" width="4" customWidth="1"/>
    <col min="4" max="4" width="30" customWidth="1"/>
  </cols>
  <sheetData>
    <row r="1" ht="34" customHeight="1" spans="1:4" x14ac:dyDescent="0.25">
      <c r="A1" s="9" t="s">
        <v>14</v>
      </c>
      <c r="B1" s="9"/>
      <c r="C1" s="9"/>
      <c r="D1" s="9"/>
    </row>
    <row r="2" ht="30" customHeight="1" spans="1:4" x14ac:dyDescent="0.25">
      <c r="A2" s="10" t="s">
        <v>15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>
        <v>300000</v>
      </c>
    </row>
    <row r="5" spans="1:2" x14ac:dyDescent="0.25">
      <c r="A5" s="12" t="s">
        <v>17</v>
      </c>
      <c r="B5" s="14">
        <v>0.065</v>
      </c>
    </row>
    <row r="6" spans="1:2" x14ac:dyDescent="0.25">
      <c r="A6" s="12" t="s">
        <v>18</v>
      </c>
      <c r="B6" s="15">
        <v>30</v>
      </c>
    </row>
    <row r="7" spans="1:2" x14ac:dyDescent="0.25">
      <c r="A7" s="12" t="s">
        <v>19</v>
      </c>
      <c r="B7" s="16">
        <v>46402</v>
      </c>
    </row>
    <row r="8" spans="1:2" x14ac:dyDescent="0.25">
      <c r="A8" s="12" t="s">
        <v>20</v>
      </c>
      <c r="B8" s="13">
        <v>0</v>
      </c>
    </row>
    <row r="10" ht="26" customHeight="1" spans="1:2" x14ac:dyDescent="0.25">
      <c r="A10" s="12" t="s">
        <v>21</v>
      </c>
      <c r="B10" s="17">
        <f>IF(B6*12&gt;0,ROUNDUP(IF(B5=0,B4/(B6*12),PMT(B5/12,B6*12,-B4)),2),0)</f>
        <v>1896.21</v>
      </c>
    </row>
    <row r="11" ht="26" customHeight="1" spans="1:2" x14ac:dyDescent="0.25">
      <c r="A11" s="12" t="s">
        <v>22</v>
      </c>
      <c r="B11" s="17">
        <f>SUM('Schedule'!$D$5:$D$484)+SUM('Schedule'!$G$5:$G$484)</f>
        <v>682628.9</v>
      </c>
    </row>
    <row r="12" ht="26" customHeight="1" spans="1:2" x14ac:dyDescent="0.25">
      <c r="A12" s="12" t="s">
        <v>23</v>
      </c>
      <c r="B12" s="17">
        <f>SUM('Schedule'!$E$5:$E$484)</f>
        <v>382628.9</v>
      </c>
    </row>
    <row r="13" ht="26" customHeight="1" spans="1:2" x14ac:dyDescent="0.25">
      <c r="A13" s="12" t="s">
        <v>24</v>
      </c>
      <c r="B13" s="18">
        <f>COUNT('Schedule'!$A$5:$A$484)</f>
        <v>360</v>
      </c>
    </row>
    <row r="14" ht="26" customHeight="1" spans="1:2" x14ac:dyDescent="0.25">
      <c r="A14" s="12" t="s">
        <v>25</v>
      </c>
      <c r="B14" s="17">
        <f>IF(N(B8)=0,0,MAX(0,B10*B6*12-B4-B12))</f>
        <v>0</v>
      </c>
    </row>
  </sheetData>
  <sheetProtection sheet="1" formatColumns="0" formatRows="0" sort="0" autoFilter="0"/>
  <mergeCells count="2">
    <mergeCell ref="A1:D1"/>
    <mergeCell ref="A2:D2"/>
  </mergeCells>
  <dataValidations count="2">
    <dataValidation type="decimal" sqref="B5">
      <formula1>0</formula1>
      <formula2>1</formula2>
    </dataValidation>
    <dataValidation type="whole" showErrorMessage="1" error="1–40" sqref="B6">
      <formula1>1</formula1>
      <formula2>40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I48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7" customWidth="1"/>
    <col min="2" max="2" width="13" customWidth="1"/>
    <col min="3" max="3" width="17" customWidth="1"/>
    <col min="4" max="4" width="14" customWidth="1"/>
    <col min="5" max="6" width="13" customWidth="1"/>
    <col min="7" max="7" width="15" customWidth="1"/>
    <col min="8" max="8" width="17" customWidth="1"/>
    <col min="9" max="9" width="6" customWidth="1"/>
  </cols>
  <sheetData>
    <row r="1" ht="34" customHeight="1" spans="1:8" x14ac:dyDescent="0.25">
      <c r="A1" s="9" t="s">
        <v>26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9" x14ac:dyDescent="0.25">
      <c r="A4" s="19" t="s">
        <v>27</v>
      </c>
      <c r="B4" s="19" t="s">
        <v>28</v>
      </c>
      <c r="C4" s="19" t="s">
        <v>29</v>
      </c>
      <c r="D4" s="19" t="s">
        <v>30</v>
      </c>
      <c r="E4" s="19" t="s">
        <v>31</v>
      </c>
      <c r="F4" s="19" t="s">
        <v>32</v>
      </c>
      <c r="G4" s="19" t="s">
        <v>33</v>
      </c>
      <c r="H4" s="19" t="s">
        <v>34</v>
      </c>
      <c r="I4" s="19" t="s">
        <v>35</v>
      </c>
    </row>
    <row r="5" spans="1:9" x14ac:dyDescent="0.25">
      <c r="A5" s="20">
        <f>IF('Calculator'!$B$4&gt;0,1,"")</f>
        <v>1</v>
      </c>
      <c r="B5" s="21">
        <f>IF(A5="","",EDATE('Calculator'!$B$7,A5-1))</f>
        <v>46402</v>
      </c>
      <c r="C5" s="22">
        <f>IF(A5="","",'Calculator'!$B$4)</f>
        <v>300000</v>
      </c>
      <c r="D5" s="22">
        <f>IF(A5="","",MIN('Calculator'!$B$10,C5+E5))</f>
        <v>1896.21</v>
      </c>
      <c r="E5" s="22">
        <f>IF(A5="","",ROUND(C5*'Calculator'!$B$5/12,2))</f>
        <v>1625</v>
      </c>
      <c r="F5" s="22">
        <f>IF(A5="","",D5-E5)</f>
        <v>271.21</v>
      </c>
      <c r="G5" s="22">
        <f>IF(A5="","",MAX(0,MIN(N('Calculator'!$B$8),C5-F5)))</f>
        <v>0</v>
      </c>
      <c r="H5" s="23">
        <f>IF(A5="","",ROUND(C5-F5-G5,2))</f>
        <v>299728.79</v>
      </c>
      <c r="I5" s="20">
        <f>IF(A5="","",ROUNDUP(A5/12,0))</f>
        <v>1</v>
      </c>
    </row>
    <row r="6" spans="1:9" x14ac:dyDescent="0.25">
      <c r="A6" s="20">
        <f>IF(H5="","",IF(H5&gt;0.005,A5+1,""))</f>
        <v>2</v>
      </c>
      <c r="B6" s="21">
        <f>IF(A6="","",EDATE('Calculator'!$B$7,A6-1))</f>
        <v>46433</v>
      </c>
      <c r="C6" s="22">
        <f>IF(A6="","",H5)</f>
        <v>299728.79</v>
      </c>
      <c r="D6" s="22">
        <f>IF(A6="","",MIN('Calculator'!$B$10,C6+E6))</f>
        <v>1896.21</v>
      </c>
      <c r="E6" s="22">
        <f>IF(A6="","",ROUND(C6*'Calculator'!$B$5/12,2))</f>
        <v>1623.53</v>
      </c>
      <c r="F6" s="22">
        <f>IF(A6="","",D6-E6)</f>
        <v>272.68</v>
      </c>
      <c r="G6" s="22">
        <f>IF(A6="","",MAX(0,MIN(N('Calculator'!$B$8),C6-F6)))</f>
        <v>0</v>
      </c>
      <c r="H6" s="23">
        <f>IF(A6="","",ROUND(C6-F6-G6,2))</f>
        <v>299456.11</v>
      </c>
      <c r="I6" s="20">
        <f>IF(A6="","",ROUNDUP(A6/12,0))</f>
        <v>1</v>
      </c>
    </row>
    <row r="7" spans="1:9" x14ac:dyDescent="0.25">
      <c r="A7" s="20">
        <f>IF(H6="","",IF(H6&gt;0.005,A6+1,""))</f>
        <v>3</v>
      </c>
      <c r="B7" s="21">
        <f>IF(A7="","",EDATE('Calculator'!$B$7,A7-1))</f>
        <v>46461</v>
      </c>
      <c r="C7" s="22">
        <f>IF(A7="","",H6)</f>
        <v>299456.11</v>
      </c>
      <c r="D7" s="22">
        <f>IF(A7="","",MIN('Calculator'!$B$10,C7+E7))</f>
        <v>1896.21</v>
      </c>
      <c r="E7" s="22">
        <f>IF(A7="","",ROUND(C7*'Calculator'!$B$5/12,2))</f>
        <v>1622.05</v>
      </c>
      <c r="F7" s="22">
        <f>IF(A7="","",D7-E7)</f>
        <v>274.16</v>
      </c>
      <c r="G7" s="22">
        <f>IF(A7="","",MAX(0,MIN(N('Calculator'!$B$8),C7-F7)))</f>
        <v>0</v>
      </c>
      <c r="H7" s="23">
        <f>IF(A7="","",ROUND(C7-F7-G7,2))</f>
        <v>299181.95</v>
      </c>
      <c r="I7" s="20">
        <f>IF(A7="","",ROUNDUP(A7/12,0))</f>
        <v>1</v>
      </c>
    </row>
    <row r="8" spans="1:9" x14ac:dyDescent="0.25">
      <c r="A8" s="20">
        <f>IF(H7="","",IF(H7&gt;0.005,A7+1,""))</f>
        <v>4</v>
      </c>
      <c r="B8" s="21">
        <f>IF(A8="","",EDATE('Calculator'!$B$7,A8-1))</f>
        <v>46492</v>
      </c>
      <c r="C8" s="22">
        <f>IF(A8="","",H7)</f>
        <v>299181.95</v>
      </c>
      <c r="D8" s="22">
        <f>IF(A8="","",MIN('Calculator'!$B$10,C8+E8))</f>
        <v>1896.21</v>
      </c>
      <c r="E8" s="22">
        <f>IF(A8="","",ROUND(C8*'Calculator'!$B$5/12,2))</f>
        <v>1620.57</v>
      </c>
      <c r="F8" s="22">
        <f>IF(A8="","",D8-E8)</f>
        <v>275.64</v>
      </c>
      <c r="G8" s="22">
        <f>IF(A8="","",MAX(0,MIN(N('Calculator'!$B$8),C8-F8)))</f>
        <v>0</v>
      </c>
      <c r="H8" s="23">
        <f>IF(A8="","",ROUND(C8-F8-G8,2))</f>
        <v>298906.31</v>
      </c>
      <c r="I8" s="20">
        <f>IF(A8="","",ROUNDUP(A8/12,0))</f>
        <v>1</v>
      </c>
    </row>
    <row r="9" spans="1:9" x14ac:dyDescent="0.25">
      <c r="A9" s="20">
        <f>IF(H8="","",IF(H8&gt;0.005,A8+1,""))</f>
        <v>5</v>
      </c>
      <c r="B9" s="21">
        <f>IF(A9="","",EDATE('Calculator'!$B$7,A9-1))</f>
        <v>46522</v>
      </c>
      <c r="C9" s="22">
        <f>IF(A9="","",H8)</f>
        <v>298906.31</v>
      </c>
      <c r="D9" s="22">
        <f>IF(A9="","",MIN('Calculator'!$B$10,C9+E9))</f>
        <v>1896.21</v>
      </c>
      <c r="E9" s="22">
        <f>IF(A9="","",ROUND(C9*'Calculator'!$B$5/12,2))</f>
        <v>1619.08</v>
      </c>
      <c r="F9" s="22">
        <f>IF(A9="","",D9-E9)</f>
        <v>277.13</v>
      </c>
      <c r="G9" s="22">
        <f>IF(A9="","",MAX(0,MIN(N('Calculator'!$B$8),C9-F9)))</f>
        <v>0</v>
      </c>
      <c r="H9" s="23">
        <f>IF(A9="","",ROUND(C9-F9-G9,2))</f>
        <v>298629.18</v>
      </c>
      <c r="I9" s="20">
        <f>IF(A9="","",ROUNDUP(A9/12,0))</f>
        <v>1</v>
      </c>
    </row>
    <row r="10" spans="1:9" x14ac:dyDescent="0.25">
      <c r="A10" s="20">
        <f>IF(H9="","",IF(H9&gt;0.005,A9+1,""))</f>
        <v>6</v>
      </c>
      <c r="B10" s="21">
        <f>IF(A10="","",EDATE('Calculator'!$B$7,A10-1))</f>
        <v>46553</v>
      </c>
      <c r="C10" s="22">
        <f>IF(A10="","",H9)</f>
        <v>298629.18</v>
      </c>
      <c r="D10" s="22">
        <f>IF(A10="","",MIN('Calculator'!$B$10,C10+E10))</f>
        <v>1896.21</v>
      </c>
      <c r="E10" s="22">
        <f>IF(A10="","",ROUND(C10*'Calculator'!$B$5/12,2))</f>
        <v>1617.57</v>
      </c>
      <c r="F10" s="22">
        <f>IF(A10="","",D10-E10)</f>
        <v>278.64</v>
      </c>
      <c r="G10" s="22">
        <f>IF(A10="","",MAX(0,MIN(N('Calculator'!$B$8),C10-F10)))</f>
        <v>0</v>
      </c>
      <c r="H10" s="23">
        <f>IF(A10="","",ROUND(C10-F10-G10,2))</f>
        <v>298350.54</v>
      </c>
      <c r="I10" s="20">
        <f>IF(A10="","",ROUNDUP(A10/12,0))</f>
        <v>1</v>
      </c>
    </row>
    <row r="11" spans="1:9" x14ac:dyDescent="0.25">
      <c r="A11" s="20">
        <f>IF(H10="","",IF(H10&gt;0.005,A10+1,""))</f>
        <v>7</v>
      </c>
      <c r="B11" s="21">
        <f>IF(A11="","",EDATE('Calculator'!$B$7,A11-1))</f>
        <v>46583</v>
      </c>
      <c r="C11" s="22">
        <f>IF(A11="","",H10)</f>
        <v>298350.54</v>
      </c>
      <c r="D11" s="22">
        <f>IF(A11="","",MIN('Calculator'!$B$10,C11+E11))</f>
        <v>1896.21</v>
      </c>
      <c r="E11" s="22">
        <f>IF(A11="","",ROUND(C11*'Calculator'!$B$5/12,2))</f>
        <v>1616.07</v>
      </c>
      <c r="F11" s="22">
        <f>IF(A11="","",D11-E11)</f>
        <v>280.14</v>
      </c>
      <c r="G11" s="22">
        <f>IF(A11="","",MAX(0,MIN(N('Calculator'!$B$8),C11-F11)))</f>
        <v>0</v>
      </c>
      <c r="H11" s="23">
        <f>IF(A11="","",ROUND(C11-F11-G11,2))</f>
        <v>298070.4</v>
      </c>
      <c r="I11" s="20">
        <f>IF(A11="","",ROUNDUP(A11/12,0))</f>
        <v>1</v>
      </c>
    </row>
    <row r="12" spans="1:9" x14ac:dyDescent="0.25">
      <c r="A12" s="20">
        <f>IF(H11="","",IF(H11&gt;0.005,A11+1,""))</f>
        <v>8</v>
      </c>
      <c r="B12" s="21">
        <f>IF(A12="","",EDATE('Calculator'!$B$7,A12-1))</f>
        <v>46614</v>
      </c>
      <c r="C12" s="22">
        <f>IF(A12="","",H11)</f>
        <v>298070.4</v>
      </c>
      <c r="D12" s="22">
        <f>IF(A12="","",MIN('Calculator'!$B$10,C12+E12))</f>
        <v>1896.21</v>
      </c>
      <c r="E12" s="22">
        <f>IF(A12="","",ROUND(C12*'Calculator'!$B$5/12,2))</f>
        <v>1614.55</v>
      </c>
      <c r="F12" s="22">
        <f>IF(A12="","",D12-E12)</f>
        <v>281.66</v>
      </c>
      <c r="G12" s="22">
        <f>IF(A12="","",MAX(0,MIN(N('Calculator'!$B$8),C12-F12)))</f>
        <v>0</v>
      </c>
      <c r="H12" s="23">
        <f>IF(A12="","",ROUND(C12-F12-G12,2))</f>
        <v>297788.74</v>
      </c>
      <c r="I12" s="20">
        <f>IF(A12="","",ROUNDUP(A12/12,0))</f>
        <v>1</v>
      </c>
    </row>
    <row r="13" spans="1:9" x14ac:dyDescent="0.25">
      <c r="A13" s="20">
        <f>IF(H12="","",IF(H12&gt;0.005,A12+1,""))</f>
        <v>9</v>
      </c>
      <c r="B13" s="21">
        <f>IF(A13="","",EDATE('Calculator'!$B$7,A13-1))</f>
        <v>46645</v>
      </c>
      <c r="C13" s="22">
        <f>IF(A13="","",H12)</f>
        <v>297788.74</v>
      </c>
      <c r="D13" s="22">
        <f>IF(A13="","",MIN('Calculator'!$B$10,C13+E13))</f>
        <v>1896.21</v>
      </c>
      <c r="E13" s="22">
        <f>IF(A13="","",ROUND(C13*'Calculator'!$B$5/12,2))</f>
        <v>1613.02</v>
      </c>
      <c r="F13" s="22">
        <f>IF(A13="","",D13-E13)</f>
        <v>283.19</v>
      </c>
      <c r="G13" s="22">
        <f>IF(A13="","",MAX(0,MIN(N('Calculator'!$B$8),C13-F13)))</f>
        <v>0</v>
      </c>
      <c r="H13" s="23">
        <f>IF(A13="","",ROUND(C13-F13-G13,2))</f>
        <v>297505.55</v>
      </c>
      <c r="I13" s="20">
        <f>IF(A13="","",ROUNDUP(A13/12,0))</f>
        <v>1</v>
      </c>
    </row>
    <row r="14" spans="1:9" x14ac:dyDescent="0.25">
      <c r="A14" s="20">
        <f>IF(H13="","",IF(H13&gt;0.005,A13+1,""))</f>
        <v>10</v>
      </c>
      <c r="B14" s="21">
        <f>IF(A14="","",EDATE('Calculator'!$B$7,A14-1))</f>
        <v>46675</v>
      </c>
      <c r="C14" s="22">
        <f>IF(A14="","",H13)</f>
        <v>297505.55</v>
      </c>
      <c r="D14" s="22">
        <f>IF(A14="","",MIN('Calculator'!$B$10,C14+E14))</f>
        <v>1896.21</v>
      </c>
      <c r="E14" s="22">
        <f>IF(A14="","",ROUND(C14*'Calculator'!$B$5/12,2))</f>
        <v>1611.49</v>
      </c>
      <c r="F14" s="22">
        <f>IF(A14="","",D14-E14)</f>
        <v>284.72</v>
      </c>
      <c r="G14" s="22">
        <f>IF(A14="","",MAX(0,MIN(N('Calculator'!$B$8),C14-F14)))</f>
        <v>0</v>
      </c>
      <c r="H14" s="23">
        <f>IF(A14="","",ROUND(C14-F14-G14,2))</f>
        <v>297220.83</v>
      </c>
      <c r="I14" s="20">
        <f>IF(A14="","",ROUNDUP(A14/12,0))</f>
        <v>1</v>
      </c>
    </row>
    <row r="15" spans="1:9" x14ac:dyDescent="0.25">
      <c r="A15" s="20">
        <f>IF(H14="","",IF(H14&gt;0.005,A14+1,""))</f>
        <v>11</v>
      </c>
      <c r="B15" s="21">
        <f>IF(A15="","",EDATE('Calculator'!$B$7,A15-1))</f>
        <v>46706</v>
      </c>
      <c r="C15" s="22">
        <f>IF(A15="","",H14)</f>
        <v>297220.83</v>
      </c>
      <c r="D15" s="22">
        <f>IF(A15="","",MIN('Calculator'!$B$10,C15+E15))</f>
        <v>1896.21</v>
      </c>
      <c r="E15" s="22">
        <f>IF(A15="","",ROUND(C15*'Calculator'!$B$5/12,2))</f>
        <v>1609.95</v>
      </c>
      <c r="F15" s="22">
        <f>IF(A15="","",D15-E15)</f>
        <v>286.26</v>
      </c>
      <c r="G15" s="22">
        <f>IF(A15="","",MAX(0,MIN(N('Calculator'!$B$8),C15-F15)))</f>
        <v>0</v>
      </c>
      <c r="H15" s="23">
        <f>IF(A15="","",ROUND(C15-F15-G15,2))</f>
        <v>296934.57</v>
      </c>
      <c r="I15" s="20">
        <f>IF(A15="","",ROUNDUP(A15/12,0))</f>
        <v>1</v>
      </c>
    </row>
    <row r="16" spans="1:9" x14ac:dyDescent="0.25">
      <c r="A16" s="20">
        <f>IF(H15="","",IF(H15&gt;0.005,A15+1,""))</f>
        <v>12</v>
      </c>
      <c r="B16" s="21">
        <f>IF(A16="","",EDATE('Calculator'!$B$7,A16-1))</f>
        <v>46736</v>
      </c>
      <c r="C16" s="22">
        <f>IF(A16="","",H15)</f>
        <v>296934.57</v>
      </c>
      <c r="D16" s="22">
        <f>IF(A16="","",MIN('Calculator'!$B$10,C16+E16))</f>
        <v>1896.21</v>
      </c>
      <c r="E16" s="22">
        <f>IF(A16="","",ROUND(C16*'Calculator'!$B$5/12,2))</f>
        <v>1608.4</v>
      </c>
      <c r="F16" s="22">
        <f>IF(A16="","",D16-E16)</f>
        <v>287.81</v>
      </c>
      <c r="G16" s="22">
        <f>IF(A16="","",MAX(0,MIN(N('Calculator'!$B$8),C16-F16)))</f>
        <v>0</v>
      </c>
      <c r="H16" s="23">
        <f>IF(A16="","",ROUND(C16-F16-G16,2))</f>
        <v>296646.76</v>
      </c>
      <c r="I16" s="20">
        <f>IF(A16="","",ROUNDUP(A16/12,0))</f>
        <v>1</v>
      </c>
    </row>
    <row r="17" spans="1:9" x14ac:dyDescent="0.25">
      <c r="A17" s="20">
        <f>IF(H16="","",IF(H16&gt;0.005,A16+1,""))</f>
        <v>13</v>
      </c>
      <c r="B17" s="21">
        <f>IF(A17="","",EDATE('Calculator'!$B$7,A17-1))</f>
        <v>46767</v>
      </c>
      <c r="C17" s="22">
        <f>IF(A17="","",H16)</f>
        <v>296646.76</v>
      </c>
      <c r="D17" s="22">
        <f>IF(A17="","",MIN('Calculator'!$B$10,C17+E17))</f>
        <v>1896.21</v>
      </c>
      <c r="E17" s="22">
        <f>IF(A17="","",ROUND(C17*'Calculator'!$B$5/12,2))</f>
        <v>1606.84</v>
      </c>
      <c r="F17" s="22">
        <f>IF(A17="","",D17-E17)</f>
        <v>289.37</v>
      </c>
      <c r="G17" s="22">
        <f>IF(A17="","",MAX(0,MIN(N('Calculator'!$B$8),C17-F17)))</f>
        <v>0</v>
      </c>
      <c r="H17" s="23">
        <f>IF(A17="","",ROUND(C17-F17-G17,2))</f>
        <v>296357.39</v>
      </c>
      <c r="I17" s="20">
        <f>IF(A17="","",ROUNDUP(A17/12,0))</f>
        <v>2</v>
      </c>
    </row>
    <row r="18" spans="1:9" x14ac:dyDescent="0.25">
      <c r="A18" s="20">
        <f>IF(H17="","",IF(H17&gt;0.005,A17+1,""))</f>
        <v>14</v>
      </c>
      <c r="B18" s="21">
        <f>IF(A18="","",EDATE('Calculator'!$B$7,A18-1))</f>
        <v>46798</v>
      </c>
      <c r="C18" s="22">
        <f>IF(A18="","",H17)</f>
        <v>296357.39</v>
      </c>
      <c r="D18" s="22">
        <f>IF(A18="","",MIN('Calculator'!$B$10,C18+E18))</f>
        <v>1896.21</v>
      </c>
      <c r="E18" s="22">
        <f>IF(A18="","",ROUND(C18*'Calculator'!$B$5/12,2))</f>
        <v>1605.27</v>
      </c>
      <c r="F18" s="22">
        <f>IF(A18="","",D18-E18)</f>
        <v>290.94</v>
      </c>
      <c r="G18" s="22">
        <f>IF(A18="","",MAX(0,MIN(N('Calculator'!$B$8),C18-F18)))</f>
        <v>0</v>
      </c>
      <c r="H18" s="23">
        <f>IF(A18="","",ROUND(C18-F18-G18,2))</f>
        <v>296066.45</v>
      </c>
      <c r="I18" s="20">
        <f>IF(A18="","",ROUNDUP(A18/12,0))</f>
        <v>2</v>
      </c>
    </row>
    <row r="19" spans="1:9" x14ac:dyDescent="0.25">
      <c r="A19" s="20">
        <f>IF(H18="","",IF(H18&gt;0.005,A18+1,""))</f>
        <v>15</v>
      </c>
      <c r="B19" s="21">
        <f>IF(A19="","",EDATE('Calculator'!$B$7,A19-1))</f>
        <v>46827</v>
      </c>
      <c r="C19" s="22">
        <f>IF(A19="","",H18)</f>
        <v>296066.45</v>
      </c>
      <c r="D19" s="22">
        <f>IF(A19="","",MIN('Calculator'!$B$10,C19+E19))</f>
        <v>1896.21</v>
      </c>
      <c r="E19" s="22">
        <f>IF(A19="","",ROUND(C19*'Calculator'!$B$5/12,2))</f>
        <v>1603.69</v>
      </c>
      <c r="F19" s="22">
        <f>IF(A19="","",D19-E19)</f>
        <v>292.52</v>
      </c>
      <c r="G19" s="22">
        <f>IF(A19="","",MAX(0,MIN(N('Calculator'!$B$8),C19-F19)))</f>
        <v>0</v>
      </c>
      <c r="H19" s="23">
        <f>IF(A19="","",ROUND(C19-F19-G19,2))</f>
        <v>295773.93</v>
      </c>
      <c r="I19" s="20">
        <f>IF(A19="","",ROUNDUP(A19/12,0))</f>
        <v>2</v>
      </c>
    </row>
    <row r="20" spans="1:9" x14ac:dyDescent="0.25">
      <c r="A20" s="20">
        <f>IF(H19="","",IF(H19&gt;0.005,A19+1,""))</f>
        <v>16</v>
      </c>
      <c r="B20" s="21">
        <f>IF(A20="","",EDATE('Calculator'!$B$7,A20-1))</f>
        <v>46858</v>
      </c>
      <c r="C20" s="22">
        <f>IF(A20="","",H19)</f>
        <v>295773.93</v>
      </c>
      <c r="D20" s="22">
        <f>IF(A20="","",MIN('Calculator'!$B$10,C20+E20))</f>
        <v>1896.21</v>
      </c>
      <c r="E20" s="22">
        <f>IF(A20="","",ROUND(C20*'Calculator'!$B$5/12,2))</f>
        <v>1602.11</v>
      </c>
      <c r="F20" s="22">
        <f>IF(A20="","",D20-E20)</f>
        <v>294.1</v>
      </c>
      <c r="G20" s="22">
        <f>IF(A20="","",MAX(0,MIN(N('Calculator'!$B$8),C20-F20)))</f>
        <v>0</v>
      </c>
      <c r="H20" s="23">
        <f>IF(A20="","",ROUND(C20-F20-G20,2))</f>
        <v>295479.83</v>
      </c>
      <c r="I20" s="20">
        <f>IF(A20="","",ROUNDUP(A20/12,0))</f>
        <v>2</v>
      </c>
    </row>
    <row r="21" spans="1:9" x14ac:dyDescent="0.25">
      <c r="A21" s="20">
        <f>IF(H20="","",IF(H20&gt;0.005,A20+1,""))</f>
        <v>17</v>
      </c>
      <c r="B21" s="21">
        <f>IF(A21="","",EDATE('Calculator'!$B$7,A21-1))</f>
        <v>46888</v>
      </c>
      <c r="C21" s="22">
        <f>IF(A21="","",H20)</f>
        <v>295479.83</v>
      </c>
      <c r="D21" s="22">
        <f>IF(A21="","",MIN('Calculator'!$B$10,C21+E21))</f>
        <v>1896.21</v>
      </c>
      <c r="E21" s="22">
        <f>IF(A21="","",ROUND(C21*'Calculator'!$B$5/12,2))</f>
        <v>1600.52</v>
      </c>
      <c r="F21" s="22">
        <f>IF(A21="","",D21-E21)</f>
        <v>295.69</v>
      </c>
      <c r="G21" s="22">
        <f>IF(A21="","",MAX(0,MIN(N('Calculator'!$B$8),C21-F21)))</f>
        <v>0</v>
      </c>
      <c r="H21" s="23">
        <f>IF(A21="","",ROUND(C21-F21-G21,2))</f>
        <v>295184.14</v>
      </c>
      <c r="I21" s="20">
        <f>IF(A21="","",ROUNDUP(A21/12,0))</f>
        <v>2</v>
      </c>
    </row>
    <row r="22" spans="1:9" x14ac:dyDescent="0.25">
      <c r="A22" s="20">
        <f>IF(H21="","",IF(H21&gt;0.005,A21+1,""))</f>
        <v>18</v>
      </c>
      <c r="B22" s="21">
        <f>IF(A22="","",EDATE('Calculator'!$B$7,A22-1))</f>
        <v>46919</v>
      </c>
      <c r="C22" s="22">
        <f>IF(A22="","",H21)</f>
        <v>295184.14</v>
      </c>
      <c r="D22" s="22">
        <f>IF(A22="","",MIN('Calculator'!$B$10,C22+E22))</f>
        <v>1896.21</v>
      </c>
      <c r="E22" s="22">
        <f>IF(A22="","",ROUND(C22*'Calculator'!$B$5/12,2))</f>
        <v>1598.91</v>
      </c>
      <c r="F22" s="22">
        <f>IF(A22="","",D22-E22)</f>
        <v>297.3</v>
      </c>
      <c r="G22" s="22">
        <f>IF(A22="","",MAX(0,MIN(N('Calculator'!$B$8),C22-F22)))</f>
        <v>0</v>
      </c>
      <c r="H22" s="23">
        <f>IF(A22="","",ROUND(C22-F22-G22,2))</f>
        <v>294886.84</v>
      </c>
      <c r="I22" s="20">
        <f>IF(A22="","",ROUNDUP(A22/12,0))</f>
        <v>2</v>
      </c>
    </row>
    <row r="23" spans="1:9" x14ac:dyDescent="0.25">
      <c r="A23" s="20">
        <f>IF(H22="","",IF(H22&gt;0.005,A22+1,""))</f>
        <v>19</v>
      </c>
      <c r="B23" s="21">
        <f>IF(A23="","",EDATE('Calculator'!$B$7,A23-1))</f>
        <v>46949</v>
      </c>
      <c r="C23" s="22">
        <f>IF(A23="","",H22)</f>
        <v>294886.84</v>
      </c>
      <c r="D23" s="22">
        <f>IF(A23="","",MIN('Calculator'!$B$10,C23+E23))</f>
        <v>1896.21</v>
      </c>
      <c r="E23" s="22">
        <f>IF(A23="","",ROUND(C23*'Calculator'!$B$5/12,2))</f>
        <v>1597.3</v>
      </c>
      <c r="F23" s="22">
        <f>IF(A23="","",D23-E23)</f>
        <v>298.91</v>
      </c>
      <c r="G23" s="22">
        <f>IF(A23="","",MAX(0,MIN(N('Calculator'!$B$8),C23-F23)))</f>
        <v>0</v>
      </c>
      <c r="H23" s="23">
        <f>IF(A23="","",ROUND(C23-F23-G23,2))</f>
        <v>294587.93</v>
      </c>
      <c r="I23" s="20">
        <f>IF(A23="","",ROUNDUP(A23/12,0))</f>
        <v>2</v>
      </c>
    </row>
    <row r="24" spans="1:9" x14ac:dyDescent="0.25">
      <c r="A24" s="20">
        <f>IF(H23="","",IF(H23&gt;0.005,A23+1,""))</f>
        <v>20</v>
      </c>
      <c r="B24" s="21">
        <f>IF(A24="","",EDATE('Calculator'!$B$7,A24-1))</f>
        <v>46980</v>
      </c>
      <c r="C24" s="22">
        <f>IF(A24="","",H23)</f>
        <v>294587.93</v>
      </c>
      <c r="D24" s="22">
        <f>IF(A24="","",MIN('Calculator'!$B$10,C24+E24))</f>
        <v>1896.21</v>
      </c>
      <c r="E24" s="22">
        <f>IF(A24="","",ROUND(C24*'Calculator'!$B$5/12,2))</f>
        <v>1595.68</v>
      </c>
      <c r="F24" s="22">
        <f>IF(A24="","",D24-E24)</f>
        <v>300.53</v>
      </c>
      <c r="G24" s="22">
        <f>IF(A24="","",MAX(0,MIN(N('Calculator'!$B$8),C24-F24)))</f>
        <v>0</v>
      </c>
      <c r="H24" s="23">
        <f>IF(A24="","",ROUND(C24-F24-G24,2))</f>
        <v>294287.4</v>
      </c>
      <c r="I24" s="20">
        <f>IF(A24="","",ROUNDUP(A24/12,0))</f>
        <v>2</v>
      </c>
    </row>
    <row r="25" spans="1:9" x14ac:dyDescent="0.25">
      <c r="A25" s="20">
        <f>IF(H24="","",IF(H24&gt;0.005,A24+1,""))</f>
        <v>21</v>
      </c>
      <c r="B25" s="21">
        <f>IF(A25="","",EDATE('Calculator'!$B$7,A25-1))</f>
        <v>47011</v>
      </c>
      <c r="C25" s="22">
        <f>IF(A25="","",H24)</f>
        <v>294287.4</v>
      </c>
      <c r="D25" s="22">
        <f>IF(A25="","",MIN('Calculator'!$B$10,C25+E25))</f>
        <v>1896.21</v>
      </c>
      <c r="E25" s="22">
        <f>IF(A25="","",ROUND(C25*'Calculator'!$B$5/12,2))</f>
        <v>1594.06</v>
      </c>
      <c r="F25" s="22">
        <f>IF(A25="","",D25-E25)</f>
        <v>302.15</v>
      </c>
      <c r="G25" s="22">
        <f>IF(A25="","",MAX(0,MIN(N('Calculator'!$B$8),C25-F25)))</f>
        <v>0</v>
      </c>
      <c r="H25" s="23">
        <f>IF(A25="","",ROUND(C25-F25-G25,2))</f>
        <v>293985.25</v>
      </c>
      <c r="I25" s="20">
        <f>IF(A25="","",ROUNDUP(A25/12,0))</f>
        <v>2</v>
      </c>
    </row>
    <row r="26" spans="1:9" x14ac:dyDescent="0.25">
      <c r="A26" s="20">
        <f>IF(H25="","",IF(H25&gt;0.005,A25+1,""))</f>
        <v>22</v>
      </c>
      <c r="B26" s="21">
        <f>IF(A26="","",EDATE('Calculator'!$B$7,A26-1))</f>
        <v>47041</v>
      </c>
      <c r="C26" s="22">
        <f>IF(A26="","",H25)</f>
        <v>293985.25</v>
      </c>
      <c r="D26" s="22">
        <f>IF(A26="","",MIN('Calculator'!$B$10,C26+E26))</f>
        <v>1896.21</v>
      </c>
      <c r="E26" s="22">
        <f>IF(A26="","",ROUND(C26*'Calculator'!$B$5/12,2))</f>
        <v>1592.42</v>
      </c>
      <c r="F26" s="22">
        <f>IF(A26="","",D26-E26)</f>
        <v>303.79</v>
      </c>
      <c r="G26" s="22">
        <f>IF(A26="","",MAX(0,MIN(N('Calculator'!$B$8),C26-F26)))</f>
        <v>0</v>
      </c>
      <c r="H26" s="23">
        <f>IF(A26="","",ROUND(C26-F26-G26,2))</f>
        <v>293681.46</v>
      </c>
      <c r="I26" s="20">
        <f>IF(A26="","",ROUNDUP(A26/12,0))</f>
        <v>2</v>
      </c>
    </row>
    <row r="27" spans="1:9" x14ac:dyDescent="0.25">
      <c r="A27" s="20">
        <f>IF(H26="","",IF(H26&gt;0.005,A26+1,""))</f>
        <v>23</v>
      </c>
      <c r="B27" s="21">
        <f>IF(A27="","",EDATE('Calculator'!$B$7,A27-1))</f>
        <v>47072</v>
      </c>
      <c r="C27" s="22">
        <f>IF(A27="","",H26)</f>
        <v>293681.46</v>
      </c>
      <c r="D27" s="22">
        <f>IF(A27="","",MIN('Calculator'!$B$10,C27+E27))</f>
        <v>1896.21</v>
      </c>
      <c r="E27" s="22">
        <f>IF(A27="","",ROUND(C27*'Calculator'!$B$5/12,2))</f>
        <v>1590.77</v>
      </c>
      <c r="F27" s="22">
        <f>IF(A27="","",D27-E27)</f>
        <v>305.44</v>
      </c>
      <c r="G27" s="22">
        <f>IF(A27="","",MAX(0,MIN(N('Calculator'!$B$8),C27-F27)))</f>
        <v>0</v>
      </c>
      <c r="H27" s="23">
        <f>IF(A27="","",ROUND(C27-F27-G27,2))</f>
        <v>293376.02</v>
      </c>
      <c r="I27" s="20">
        <f>IF(A27="","",ROUNDUP(A27/12,0))</f>
        <v>2</v>
      </c>
    </row>
    <row r="28" spans="1:9" x14ac:dyDescent="0.25">
      <c r="A28" s="20">
        <f>IF(H27="","",IF(H27&gt;0.005,A27+1,""))</f>
        <v>24</v>
      </c>
      <c r="B28" s="21">
        <f>IF(A28="","",EDATE('Calculator'!$B$7,A28-1))</f>
        <v>47102</v>
      </c>
      <c r="C28" s="22">
        <f>IF(A28="","",H27)</f>
        <v>293376.02</v>
      </c>
      <c r="D28" s="22">
        <f>IF(A28="","",MIN('Calculator'!$B$10,C28+E28))</f>
        <v>1896.21</v>
      </c>
      <c r="E28" s="22">
        <f>IF(A28="","",ROUND(C28*'Calculator'!$B$5/12,2))</f>
        <v>1589.12</v>
      </c>
      <c r="F28" s="22">
        <f>IF(A28="","",D28-E28)</f>
        <v>307.09</v>
      </c>
      <c r="G28" s="22">
        <f>IF(A28="","",MAX(0,MIN(N('Calculator'!$B$8),C28-F28)))</f>
        <v>0</v>
      </c>
      <c r="H28" s="23">
        <f>IF(A28="","",ROUND(C28-F28-G28,2))</f>
        <v>293068.93</v>
      </c>
      <c r="I28" s="20">
        <f>IF(A28="","",ROUNDUP(A28/12,0))</f>
        <v>2</v>
      </c>
    </row>
    <row r="29" spans="1:9" x14ac:dyDescent="0.25">
      <c r="A29" s="20">
        <f>IF(H28="","",IF(H28&gt;0.005,A28+1,""))</f>
        <v>25</v>
      </c>
      <c r="B29" s="21">
        <f>IF(A29="","",EDATE('Calculator'!$B$7,A29-1))</f>
        <v>47133</v>
      </c>
      <c r="C29" s="22">
        <f>IF(A29="","",H28)</f>
        <v>293068.93</v>
      </c>
      <c r="D29" s="22">
        <f>IF(A29="","",MIN('Calculator'!$B$10,C29+E29))</f>
        <v>1896.21</v>
      </c>
      <c r="E29" s="22">
        <f>IF(A29="","",ROUND(C29*'Calculator'!$B$5/12,2))</f>
        <v>1587.46</v>
      </c>
      <c r="F29" s="22">
        <f>IF(A29="","",D29-E29)</f>
        <v>308.75</v>
      </c>
      <c r="G29" s="22">
        <f>IF(A29="","",MAX(0,MIN(N('Calculator'!$B$8),C29-F29)))</f>
        <v>0</v>
      </c>
      <c r="H29" s="23">
        <f>IF(A29="","",ROUND(C29-F29-G29,2))</f>
        <v>292760.18</v>
      </c>
      <c r="I29" s="20">
        <f>IF(A29="","",ROUNDUP(A29/12,0))</f>
        <v>3</v>
      </c>
    </row>
    <row r="30" spans="1:9" x14ac:dyDescent="0.25">
      <c r="A30" s="20">
        <f>IF(H29="","",IF(H29&gt;0.005,A29+1,""))</f>
        <v>26</v>
      </c>
      <c r="B30" s="21">
        <f>IF(A30="","",EDATE('Calculator'!$B$7,A30-1))</f>
        <v>47164</v>
      </c>
      <c r="C30" s="22">
        <f>IF(A30="","",H29)</f>
        <v>292760.18</v>
      </c>
      <c r="D30" s="22">
        <f>IF(A30="","",MIN('Calculator'!$B$10,C30+E30))</f>
        <v>1896.21</v>
      </c>
      <c r="E30" s="22">
        <f>IF(A30="","",ROUND(C30*'Calculator'!$B$5/12,2))</f>
        <v>1585.78</v>
      </c>
      <c r="F30" s="22">
        <f>IF(A30="","",D30-E30)</f>
        <v>310.43</v>
      </c>
      <c r="G30" s="22">
        <f>IF(A30="","",MAX(0,MIN(N('Calculator'!$B$8),C30-F30)))</f>
        <v>0</v>
      </c>
      <c r="H30" s="23">
        <f>IF(A30="","",ROUND(C30-F30-G30,2))</f>
        <v>292449.75</v>
      </c>
      <c r="I30" s="20">
        <f>IF(A30="","",ROUNDUP(A30/12,0))</f>
        <v>3</v>
      </c>
    </row>
    <row r="31" spans="1:9" x14ac:dyDescent="0.25">
      <c r="A31" s="20">
        <f>IF(H30="","",IF(H30&gt;0.005,A30+1,""))</f>
        <v>27</v>
      </c>
      <c r="B31" s="21">
        <f>IF(A31="","",EDATE('Calculator'!$B$7,A31-1))</f>
        <v>47192</v>
      </c>
      <c r="C31" s="22">
        <f>IF(A31="","",H30)</f>
        <v>292449.75</v>
      </c>
      <c r="D31" s="22">
        <f>IF(A31="","",MIN('Calculator'!$B$10,C31+E31))</f>
        <v>1896.21</v>
      </c>
      <c r="E31" s="22">
        <f>IF(A31="","",ROUND(C31*'Calculator'!$B$5/12,2))</f>
        <v>1584.1</v>
      </c>
      <c r="F31" s="22">
        <f>IF(A31="","",D31-E31)</f>
        <v>312.11</v>
      </c>
      <c r="G31" s="22">
        <f>IF(A31="","",MAX(0,MIN(N('Calculator'!$B$8),C31-F31)))</f>
        <v>0</v>
      </c>
      <c r="H31" s="23">
        <f>IF(A31="","",ROUND(C31-F31-G31,2))</f>
        <v>292137.64</v>
      </c>
      <c r="I31" s="20">
        <f>IF(A31="","",ROUNDUP(A31/12,0))</f>
        <v>3</v>
      </c>
    </row>
    <row r="32" spans="1:9" x14ac:dyDescent="0.25">
      <c r="A32" s="20">
        <f>IF(H31="","",IF(H31&gt;0.005,A31+1,""))</f>
        <v>28</v>
      </c>
      <c r="B32" s="21">
        <f>IF(A32="","",EDATE('Calculator'!$B$7,A32-1))</f>
        <v>47223</v>
      </c>
      <c r="C32" s="22">
        <f>IF(A32="","",H31)</f>
        <v>292137.64</v>
      </c>
      <c r="D32" s="22">
        <f>IF(A32="","",MIN('Calculator'!$B$10,C32+E32))</f>
        <v>1896.21</v>
      </c>
      <c r="E32" s="22">
        <f>IF(A32="","",ROUND(C32*'Calculator'!$B$5/12,2))</f>
        <v>1582.41</v>
      </c>
      <c r="F32" s="22">
        <f>IF(A32="","",D32-E32)</f>
        <v>313.8</v>
      </c>
      <c r="G32" s="22">
        <f>IF(A32="","",MAX(0,MIN(N('Calculator'!$B$8),C32-F32)))</f>
        <v>0</v>
      </c>
      <c r="H32" s="23">
        <f>IF(A32="","",ROUND(C32-F32-G32,2))</f>
        <v>291823.84</v>
      </c>
      <c r="I32" s="20">
        <f>IF(A32="","",ROUNDUP(A32/12,0))</f>
        <v>3</v>
      </c>
    </row>
    <row r="33" spans="1:9" x14ac:dyDescent="0.25">
      <c r="A33" s="20">
        <f>IF(H32="","",IF(H32&gt;0.005,A32+1,""))</f>
        <v>29</v>
      </c>
      <c r="B33" s="21">
        <f>IF(A33="","",EDATE('Calculator'!$B$7,A33-1))</f>
        <v>47253</v>
      </c>
      <c r="C33" s="22">
        <f>IF(A33="","",H32)</f>
        <v>291823.84</v>
      </c>
      <c r="D33" s="22">
        <f>IF(A33="","",MIN('Calculator'!$B$10,C33+E33))</f>
        <v>1896.21</v>
      </c>
      <c r="E33" s="22">
        <f>IF(A33="","",ROUND(C33*'Calculator'!$B$5/12,2))</f>
        <v>1580.71</v>
      </c>
      <c r="F33" s="22">
        <f>IF(A33="","",D33-E33)</f>
        <v>315.5</v>
      </c>
      <c r="G33" s="22">
        <f>IF(A33="","",MAX(0,MIN(N('Calculator'!$B$8),C33-F33)))</f>
        <v>0</v>
      </c>
      <c r="H33" s="23">
        <f>IF(A33="","",ROUND(C33-F33-G33,2))</f>
        <v>291508.34</v>
      </c>
      <c r="I33" s="20">
        <f>IF(A33="","",ROUNDUP(A33/12,0))</f>
        <v>3</v>
      </c>
    </row>
    <row r="34" spans="1:9" x14ac:dyDescent="0.25">
      <c r="A34" s="20">
        <f>IF(H33="","",IF(H33&gt;0.005,A33+1,""))</f>
        <v>30</v>
      </c>
      <c r="B34" s="21">
        <f>IF(A34="","",EDATE('Calculator'!$B$7,A34-1))</f>
        <v>47284</v>
      </c>
      <c r="C34" s="22">
        <f>IF(A34="","",H33)</f>
        <v>291508.34</v>
      </c>
      <c r="D34" s="22">
        <f>IF(A34="","",MIN('Calculator'!$B$10,C34+E34))</f>
        <v>1896.21</v>
      </c>
      <c r="E34" s="22">
        <f>IF(A34="","",ROUND(C34*'Calculator'!$B$5/12,2))</f>
        <v>1579</v>
      </c>
      <c r="F34" s="22">
        <f>IF(A34="","",D34-E34)</f>
        <v>317.21</v>
      </c>
      <c r="G34" s="22">
        <f>IF(A34="","",MAX(0,MIN(N('Calculator'!$B$8),C34-F34)))</f>
        <v>0</v>
      </c>
      <c r="H34" s="23">
        <f>IF(A34="","",ROUND(C34-F34-G34,2))</f>
        <v>291191.13</v>
      </c>
      <c r="I34" s="20">
        <f>IF(A34="","",ROUNDUP(A34/12,0))</f>
        <v>3</v>
      </c>
    </row>
    <row r="35" spans="1:9" x14ac:dyDescent="0.25">
      <c r="A35" s="20">
        <f>IF(H34="","",IF(H34&gt;0.005,A34+1,""))</f>
        <v>31</v>
      </c>
      <c r="B35" s="21">
        <f>IF(A35="","",EDATE('Calculator'!$B$7,A35-1))</f>
        <v>47314</v>
      </c>
      <c r="C35" s="22">
        <f>IF(A35="","",H34)</f>
        <v>291191.13</v>
      </c>
      <c r="D35" s="22">
        <f>IF(A35="","",MIN('Calculator'!$B$10,C35+E35))</f>
        <v>1896.21</v>
      </c>
      <c r="E35" s="22">
        <f>IF(A35="","",ROUND(C35*'Calculator'!$B$5/12,2))</f>
        <v>1577.29</v>
      </c>
      <c r="F35" s="22">
        <f>IF(A35="","",D35-E35)</f>
        <v>318.92</v>
      </c>
      <c r="G35" s="22">
        <f>IF(A35="","",MAX(0,MIN(N('Calculator'!$B$8),C35-F35)))</f>
        <v>0</v>
      </c>
      <c r="H35" s="23">
        <f>IF(A35="","",ROUND(C35-F35-G35,2))</f>
        <v>290872.21</v>
      </c>
      <c r="I35" s="20">
        <f>IF(A35="","",ROUNDUP(A35/12,0))</f>
        <v>3</v>
      </c>
    </row>
    <row r="36" spans="1:9" x14ac:dyDescent="0.25">
      <c r="A36" s="20">
        <f>IF(H35="","",IF(H35&gt;0.005,A35+1,""))</f>
        <v>32</v>
      </c>
      <c r="B36" s="21">
        <f>IF(A36="","",EDATE('Calculator'!$B$7,A36-1))</f>
        <v>47345</v>
      </c>
      <c r="C36" s="22">
        <f>IF(A36="","",H35)</f>
        <v>290872.21</v>
      </c>
      <c r="D36" s="22">
        <f>IF(A36="","",MIN('Calculator'!$B$10,C36+E36))</f>
        <v>1896.21</v>
      </c>
      <c r="E36" s="22">
        <f>IF(A36="","",ROUND(C36*'Calculator'!$B$5/12,2))</f>
        <v>1575.56</v>
      </c>
      <c r="F36" s="22">
        <f>IF(A36="","",D36-E36)</f>
        <v>320.65</v>
      </c>
      <c r="G36" s="22">
        <f>IF(A36="","",MAX(0,MIN(N('Calculator'!$B$8),C36-F36)))</f>
        <v>0</v>
      </c>
      <c r="H36" s="23">
        <f>IF(A36="","",ROUND(C36-F36-G36,2))</f>
        <v>290551.56</v>
      </c>
      <c r="I36" s="20">
        <f>IF(A36="","",ROUNDUP(A36/12,0))</f>
        <v>3</v>
      </c>
    </row>
    <row r="37" spans="1:9" x14ac:dyDescent="0.25">
      <c r="A37" s="20">
        <f>IF(H36="","",IF(H36&gt;0.005,A36+1,""))</f>
        <v>33</v>
      </c>
      <c r="B37" s="21">
        <f>IF(A37="","",EDATE('Calculator'!$B$7,A37-1))</f>
        <v>47376</v>
      </c>
      <c r="C37" s="22">
        <f>IF(A37="","",H36)</f>
        <v>290551.56</v>
      </c>
      <c r="D37" s="22">
        <f>IF(A37="","",MIN('Calculator'!$B$10,C37+E37))</f>
        <v>1896.21</v>
      </c>
      <c r="E37" s="22">
        <f>IF(A37="","",ROUND(C37*'Calculator'!$B$5/12,2))</f>
        <v>1573.82</v>
      </c>
      <c r="F37" s="22">
        <f>IF(A37="","",D37-E37)</f>
        <v>322.39</v>
      </c>
      <c r="G37" s="22">
        <f>IF(A37="","",MAX(0,MIN(N('Calculator'!$B$8),C37-F37)))</f>
        <v>0</v>
      </c>
      <c r="H37" s="23">
        <f>IF(A37="","",ROUND(C37-F37-G37,2))</f>
        <v>290229.17</v>
      </c>
      <c r="I37" s="20">
        <f>IF(A37="","",ROUNDUP(A37/12,0))</f>
        <v>3</v>
      </c>
    </row>
    <row r="38" spans="1:9" x14ac:dyDescent="0.25">
      <c r="A38" s="20">
        <f>IF(H37="","",IF(H37&gt;0.005,A37+1,""))</f>
        <v>34</v>
      </c>
      <c r="B38" s="21">
        <f>IF(A38="","",EDATE('Calculator'!$B$7,A38-1))</f>
        <v>47406</v>
      </c>
      <c r="C38" s="22">
        <f>IF(A38="","",H37)</f>
        <v>290229.17</v>
      </c>
      <c r="D38" s="22">
        <f>IF(A38="","",MIN('Calculator'!$B$10,C38+E38))</f>
        <v>1896.21</v>
      </c>
      <c r="E38" s="22">
        <f>IF(A38="","",ROUND(C38*'Calculator'!$B$5/12,2))</f>
        <v>1572.07</v>
      </c>
      <c r="F38" s="22">
        <f>IF(A38="","",D38-E38)</f>
        <v>324.14</v>
      </c>
      <c r="G38" s="22">
        <f>IF(A38="","",MAX(0,MIN(N('Calculator'!$B$8),C38-F38)))</f>
        <v>0</v>
      </c>
      <c r="H38" s="23">
        <f>IF(A38="","",ROUND(C38-F38-G38,2))</f>
        <v>289905.03</v>
      </c>
      <c r="I38" s="20">
        <f>IF(A38="","",ROUNDUP(A38/12,0))</f>
        <v>3</v>
      </c>
    </row>
    <row r="39" spans="1:9" x14ac:dyDescent="0.25">
      <c r="A39" s="20">
        <f>IF(H38="","",IF(H38&gt;0.005,A38+1,""))</f>
        <v>35</v>
      </c>
      <c r="B39" s="21">
        <f>IF(A39="","",EDATE('Calculator'!$B$7,A39-1))</f>
        <v>47437</v>
      </c>
      <c r="C39" s="22">
        <f>IF(A39="","",H38)</f>
        <v>289905.03</v>
      </c>
      <c r="D39" s="22">
        <f>IF(A39="","",MIN('Calculator'!$B$10,C39+E39))</f>
        <v>1896.21</v>
      </c>
      <c r="E39" s="22">
        <f>IF(A39="","",ROUND(C39*'Calculator'!$B$5/12,2))</f>
        <v>1570.32</v>
      </c>
      <c r="F39" s="22">
        <f>IF(A39="","",D39-E39)</f>
        <v>325.89</v>
      </c>
      <c r="G39" s="22">
        <f>IF(A39="","",MAX(0,MIN(N('Calculator'!$B$8),C39-F39)))</f>
        <v>0</v>
      </c>
      <c r="H39" s="23">
        <f>IF(A39="","",ROUND(C39-F39-G39,2))</f>
        <v>289579.14</v>
      </c>
      <c r="I39" s="20">
        <f>IF(A39="","",ROUNDUP(A39/12,0))</f>
        <v>3</v>
      </c>
    </row>
    <row r="40" spans="1:9" x14ac:dyDescent="0.25">
      <c r="A40" s="20">
        <f>IF(H39="","",IF(H39&gt;0.005,A39+1,""))</f>
        <v>36</v>
      </c>
      <c r="B40" s="21">
        <f>IF(A40="","",EDATE('Calculator'!$B$7,A40-1))</f>
        <v>47467</v>
      </c>
      <c r="C40" s="22">
        <f>IF(A40="","",H39)</f>
        <v>289579.14</v>
      </c>
      <c r="D40" s="22">
        <f>IF(A40="","",MIN('Calculator'!$B$10,C40+E40))</f>
        <v>1896.21</v>
      </c>
      <c r="E40" s="22">
        <f>IF(A40="","",ROUND(C40*'Calculator'!$B$5/12,2))</f>
        <v>1568.55</v>
      </c>
      <c r="F40" s="22">
        <f>IF(A40="","",D40-E40)</f>
        <v>327.66</v>
      </c>
      <c r="G40" s="22">
        <f>IF(A40="","",MAX(0,MIN(N('Calculator'!$B$8),C40-F40)))</f>
        <v>0</v>
      </c>
      <c r="H40" s="23">
        <f>IF(A40="","",ROUND(C40-F40-G40,2))</f>
        <v>289251.48</v>
      </c>
      <c r="I40" s="20">
        <f>IF(A40="","",ROUNDUP(A40/12,0))</f>
        <v>3</v>
      </c>
    </row>
    <row r="41" spans="1:9" x14ac:dyDescent="0.25">
      <c r="A41" s="20">
        <f>IF(H40="","",IF(H40&gt;0.005,A40+1,""))</f>
        <v>37</v>
      </c>
      <c r="B41" s="21">
        <f>IF(A41="","",EDATE('Calculator'!$B$7,A41-1))</f>
        <v>47498</v>
      </c>
      <c r="C41" s="22">
        <f>IF(A41="","",H40)</f>
        <v>289251.48</v>
      </c>
      <c r="D41" s="22">
        <f>IF(A41="","",MIN('Calculator'!$B$10,C41+E41))</f>
        <v>1896.21</v>
      </c>
      <c r="E41" s="22">
        <f>IF(A41="","",ROUND(C41*'Calculator'!$B$5/12,2))</f>
        <v>1566.78</v>
      </c>
      <c r="F41" s="22">
        <f>IF(A41="","",D41-E41)</f>
        <v>329.43</v>
      </c>
      <c r="G41" s="22">
        <f>IF(A41="","",MAX(0,MIN(N('Calculator'!$B$8),C41-F41)))</f>
        <v>0</v>
      </c>
      <c r="H41" s="23">
        <f>IF(A41="","",ROUND(C41-F41-G41,2))</f>
        <v>288922.05</v>
      </c>
      <c r="I41" s="20">
        <f>IF(A41="","",ROUNDUP(A41/12,0))</f>
        <v>4</v>
      </c>
    </row>
    <row r="42" spans="1:9" x14ac:dyDescent="0.25">
      <c r="A42" s="20">
        <f>IF(H41="","",IF(H41&gt;0.005,A41+1,""))</f>
        <v>38</v>
      </c>
      <c r="B42" s="21">
        <f>IF(A42="","",EDATE('Calculator'!$B$7,A42-1))</f>
        <v>47529</v>
      </c>
      <c r="C42" s="22">
        <f>IF(A42="","",H41)</f>
        <v>288922.05</v>
      </c>
      <c r="D42" s="22">
        <f>IF(A42="","",MIN('Calculator'!$B$10,C42+E42))</f>
        <v>1896.21</v>
      </c>
      <c r="E42" s="22">
        <f>IF(A42="","",ROUND(C42*'Calculator'!$B$5/12,2))</f>
        <v>1564.99</v>
      </c>
      <c r="F42" s="22">
        <f>IF(A42="","",D42-E42)</f>
        <v>331.22</v>
      </c>
      <c r="G42" s="22">
        <f>IF(A42="","",MAX(0,MIN(N('Calculator'!$B$8),C42-F42)))</f>
        <v>0</v>
      </c>
      <c r="H42" s="23">
        <f>IF(A42="","",ROUND(C42-F42-G42,2))</f>
        <v>288590.83</v>
      </c>
      <c r="I42" s="20">
        <f>IF(A42="","",ROUNDUP(A42/12,0))</f>
        <v>4</v>
      </c>
    </row>
    <row r="43" spans="1:9" x14ac:dyDescent="0.25">
      <c r="A43" s="20">
        <f>IF(H42="","",IF(H42&gt;0.005,A42+1,""))</f>
        <v>39</v>
      </c>
      <c r="B43" s="21">
        <f>IF(A43="","",EDATE('Calculator'!$B$7,A43-1))</f>
        <v>47557</v>
      </c>
      <c r="C43" s="22">
        <f>IF(A43="","",H42)</f>
        <v>288590.83</v>
      </c>
      <c r="D43" s="22">
        <f>IF(A43="","",MIN('Calculator'!$B$10,C43+E43))</f>
        <v>1896.21</v>
      </c>
      <c r="E43" s="22">
        <f>IF(A43="","",ROUND(C43*'Calculator'!$B$5/12,2))</f>
        <v>1563.2</v>
      </c>
      <c r="F43" s="22">
        <f>IF(A43="","",D43-E43)</f>
        <v>333.01</v>
      </c>
      <c r="G43" s="22">
        <f>IF(A43="","",MAX(0,MIN(N('Calculator'!$B$8),C43-F43)))</f>
        <v>0</v>
      </c>
      <c r="H43" s="23">
        <f>IF(A43="","",ROUND(C43-F43-G43,2))</f>
        <v>288257.82</v>
      </c>
      <c r="I43" s="20">
        <f>IF(A43="","",ROUNDUP(A43/12,0))</f>
        <v>4</v>
      </c>
    </row>
    <row r="44" spans="1:9" x14ac:dyDescent="0.25">
      <c r="A44" s="20">
        <f>IF(H43="","",IF(H43&gt;0.005,A43+1,""))</f>
        <v>40</v>
      </c>
      <c r="B44" s="21">
        <f>IF(A44="","",EDATE('Calculator'!$B$7,A44-1))</f>
        <v>47588</v>
      </c>
      <c r="C44" s="22">
        <f>IF(A44="","",H43)</f>
        <v>288257.82</v>
      </c>
      <c r="D44" s="22">
        <f>IF(A44="","",MIN('Calculator'!$B$10,C44+E44))</f>
        <v>1896.21</v>
      </c>
      <c r="E44" s="22">
        <f>IF(A44="","",ROUND(C44*'Calculator'!$B$5/12,2))</f>
        <v>1561.4</v>
      </c>
      <c r="F44" s="22">
        <f>IF(A44="","",D44-E44)</f>
        <v>334.81</v>
      </c>
      <c r="G44" s="22">
        <f>IF(A44="","",MAX(0,MIN(N('Calculator'!$B$8),C44-F44)))</f>
        <v>0</v>
      </c>
      <c r="H44" s="23">
        <f>IF(A44="","",ROUND(C44-F44-G44,2))</f>
        <v>287923.01</v>
      </c>
      <c r="I44" s="20">
        <f>IF(A44="","",ROUNDUP(A44/12,0))</f>
        <v>4</v>
      </c>
    </row>
    <row r="45" spans="1:9" x14ac:dyDescent="0.25">
      <c r="A45" s="20">
        <f>IF(H44="","",IF(H44&gt;0.005,A44+1,""))</f>
        <v>41</v>
      </c>
      <c r="B45" s="21">
        <f>IF(A45="","",EDATE('Calculator'!$B$7,A45-1))</f>
        <v>47618</v>
      </c>
      <c r="C45" s="22">
        <f>IF(A45="","",H44)</f>
        <v>287923.01</v>
      </c>
      <c r="D45" s="22">
        <f>IF(A45="","",MIN('Calculator'!$B$10,C45+E45))</f>
        <v>1896.21</v>
      </c>
      <c r="E45" s="22">
        <f>IF(A45="","",ROUND(C45*'Calculator'!$B$5/12,2))</f>
        <v>1559.58</v>
      </c>
      <c r="F45" s="22">
        <f>IF(A45="","",D45-E45)</f>
        <v>336.63</v>
      </c>
      <c r="G45" s="22">
        <f>IF(A45="","",MAX(0,MIN(N('Calculator'!$B$8),C45-F45)))</f>
        <v>0</v>
      </c>
      <c r="H45" s="23">
        <f>IF(A45="","",ROUND(C45-F45-G45,2))</f>
        <v>287586.38</v>
      </c>
      <c r="I45" s="20">
        <f>IF(A45="","",ROUNDUP(A45/12,0))</f>
        <v>4</v>
      </c>
    </row>
    <row r="46" spans="1:9" x14ac:dyDescent="0.25">
      <c r="A46" s="20">
        <f>IF(H45="","",IF(H45&gt;0.005,A45+1,""))</f>
        <v>42</v>
      </c>
      <c r="B46" s="21">
        <f>IF(A46="","",EDATE('Calculator'!$B$7,A46-1))</f>
        <v>47649</v>
      </c>
      <c r="C46" s="22">
        <f>IF(A46="","",H45)</f>
        <v>287586.38</v>
      </c>
      <c r="D46" s="22">
        <f>IF(A46="","",MIN('Calculator'!$B$10,C46+E46))</f>
        <v>1896.21</v>
      </c>
      <c r="E46" s="22">
        <f>IF(A46="","",ROUND(C46*'Calculator'!$B$5/12,2))</f>
        <v>1557.76</v>
      </c>
      <c r="F46" s="22">
        <f>IF(A46="","",D46-E46)</f>
        <v>338.45</v>
      </c>
      <c r="G46" s="22">
        <f>IF(A46="","",MAX(0,MIN(N('Calculator'!$B$8),C46-F46)))</f>
        <v>0</v>
      </c>
      <c r="H46" s="23">
        <f>IF(A46="","",ROUND(C46-F46-G46,2))</f>
        <v>287247.93</v>
      </c>
      <c r="I46" s="20">
        <f>IF(A46="","",ROUNDUP(A46/12,0))</f>
        <v>4</v>
      </c>
    </row>
    <row r="47" spans="1:9" x14ac:dyDescent="0.25">
      <c r="A47" s="20">
        <f>IF(H46="","",IF(H46&gt;0.005,A46+1,""))</f>
        <v>43</v>
      </c>
      <c r="B47" s="21">
        <f>IF(A47="","",EDATE('Calculator'!$B$7,A47-1))</f>
        <v>47679</v>
      </c>
      <c r="C47" s="22">
        <f>IF(A47="","",H46)</f>
        <v>287247.93</v>
      </c>
      <c r="D47" s="22">
        <f>IF(A47="","",MIN('Calculator'!$B$10,C47+E47))</f>
        <v>1896.21</v>
      </c>
      <c r="E47" s="22">
        <f>IF(A47="","",ROUND(C47*'Calculator'!$B$5/12,2))</f>
        <v>1555.93</v>
      </c>
      <c r="F47" s="22">
        <f>IF(A47="","",D47-E47)</f>
        <v>340.28</v>
      </c>
      <c r="G47" s="22">
        <f>IF(A47="","",MAX(0,MIN(N('Calculator'!$B$8),C47-F47)))</f>
        <v>0</v>
      </c>
      <c r="H47" s="23">
        <f>IF(A47="","",ROUND(C47-F47-G47,2))</f>
        <v>286907.65</v>
      </c>
      <c r="I47" s="20">
        <f>IF(A47="","",ROUNDUP(A47/12,0))</f>
        <v>4</v>
      </c>
    </row>
    <row r="48" spans="1:9" x14ac:dyDescent="0.25">
      <c r="A48" s="20">
        <f>IF(H47="","",IF(H47&gt;0.005,A47+1,""))</f>
        <v>44</v>
      </c>
      <c r="B48" s="21">
        <f>IF(A48="","",EDATE('Calculator'!$B$7,A48-1))</f>
        <v>47710</v>
      </c>
      <c r="C48" s="22">
        <f>IF(A48="","",H47)</f>
        <v>286907.65</v>
      </c>
      <c r="D48" s="22">
        <f>IF(A48="","",MIN('Calculator'!$B$10,C48+E48))</f>
        <v>1896.21</v>
      </c>
      <c r="E48" s="22">
        <f>IF(A48="","",ROUND(C48*'Calculator'!$B$5/12,2))</f>
        <v>1554.08</v>
      </c>
      <c r="F48" s="22">
        <f>IF(A48="","",D48-E48)</f>
        <v>342.13</v>
      </c>
      <c r="G48" s="22">
        <f>IF(A48="","",MAX(0,MIN(N('Calculator'!$B$8),C48-F48)))</f>
        <v>0</v>
      </c>
      <c r="H48" s="23">
        <f>IF(A48="","",ROUND(C48-F48-G48,2))</f>
        <v>286565.52</v>
      </c>
      <c r="I48" s="20">
        <f>IF(A48="","",ROUNDUP(A48/12,0))</f>
        <v>4</v>
      </c>
    </row>
    <row r="49" spans="1:9" x14ac:dyDescent="0.25">
      <c r="A49" s="20">
        <f>IF(H48="","",IF(H48&gt;0.005,A48+1,""))</f>
        <v>45</v>
      </c>
      <c r="B49" s="21">
        <f>IF(A49="","",EDATE('Calculator'!$B$7,A49-1))</f>
        <v>47741</v>
      </c>
      <c r="C49" s="22">
        <f>IF(A49="","",H48)</f>
        <v>286565.52</v>
      </c>
      <c r="D49" s="22">
        <f>IF(A49="","",MIN('Calculator'!$B$10,C49+E49))</f>
        <v>1896.21</v>
      </c>
      <c r="E49" s="22">
        <f>IF(A49="","",ROUND(C49*'Calculator'!$B$5/12,2))</f>
        <v>1552.23</v>
      </c>
      <c r="F49" s="22">
        <f>IF(A49="","",D49-E49)</f>
        <v>343.98</v>
      </c>
      <c r="G49" s="22">
        <f>IF(A49="","",MAX(0,MIN(N('Calculator'!$B$8),C49-F49)))</f>
        <v>0</v>
      </c>
      <c r="H49" s="23">
        <f>IF(A49="","",ROUND(C49-F49-G49,2))</f>
        <v>286221.54</v>
      </c>
      <c r="I49" s="20">
        <f>IF(A49="","",ROUNDUP(A49/12,0))</f>
        <v>4</v>
      </c>
    </row>
    <row r="50" spans="1:9" x14ac:dyDescent="0.25">
      <c r="A50" s="20">
        <f>IF(H49="","",IF(H49&gt;0.005,A49+1,""))</f>
        <v>46</v>
      </c>
      <c r="B50" s="21">
        <f>IF(A50="","",EDATE('Calculator'!$B$7,A50-1))</f>
        <v>47771</v>
      </c>
      <c r="C50" s="22">
        <f>IF(A50="","",H49)</f>
        <v>286221.54</v>
      </c>
      <c r="D50" s="22">
        <f>IF(A50="","",MIN('Calculator'!$B$10,C50+E50))</f>
        <v>1896.21</v>
      </c>
      <c r="E50" s="22">
        <f>IF(A50="","",ROUND(C50*'Calculator'!$B$5/12,2))</f>
        <v>1550.37</v>
      </c>
      <c r="F50" s="22">
        <f>IF(A50="","",D50-E50)</f>
        <v>345.84</v>
      </c>
      <c r="G50" s="22">
        <f>IF(A50="","",MAX(0,MIN(N('Calculator'!$B$8),C50-F50)))</f>
        <v>0</v>
      </c>
      <c r="H50" s="23">
        <f>IF(A50="","",ROUND(C50-F50-G50,2))</f>
        <v>285875.7</v>
      </c>
      <c r="I50" s="20">
        <f>IF(A50="","",ROUNDUP(A50/12,0))</f>
        <v>4</v>
      </c>
    </row>
    <row r="51" spans="1:9" x14ac:dyDescent="0.25">
      <c r="A51" s="20">
        <f>IF(H50="","",IF(H50&gt;0.005,A50+1,""))</f>
        <v>47</v>
      </c>
      <c r="B51" s="21">
        <f>IF(A51="","",EDATE('Calculator'!$B$7,A51-1))</f>
        <v>47802</v>
      </c>
      <c r="C51" s="22">
        <f>IF(A51="","",H50)</f>
        <v>285875.7</v>
      </c>
      <c r="D51" s="22">
        <f>IF(A51="","",MIN('Calculator'!$B$10,C51+E51))</f>
        <v>1896.21</v>
      </c>
      <c r="E51" s="22">
        <f>IF(A51="","",ROUND(C51*'Calculator'!$B$5/12,2))</f>
        <v>1548.49</v>
      </c>
      <c r="F51" s="22">
        <f>IF(A51="","",D51-E51)</f>
        <v>347.72</v>
      </c>
      <c r="G51" s="22">
        <f>IF(A51="","",MAX(0,MIN(N('Calculator'!$B$8),C51-F51)))</f>
        <v>0</v>
      </c>
      <c r="H51" s="23">
        <f>IF(A51="","",ROUND(C51-F51-G51,2))</f>
        <v>285527.98</v>
      </c>
      <c r="I51" s="20">
        <f>IF(A51="","",ROUNDUP(A51/12,0))</f>
        <v>4</v>
      </c>
    </row>
    <row r="52" spans="1:9" x14ac:dyDescent="0.25">
      <c r="A52" s="20">
        <f>IF(H51="","",IF(H51&gt;0.005,A51+1,""))</f>
        <v>48</v>
      </c>
      <c r="B52" s="21">
        <f>IF(A52="","",EDATE('Calculator'!$B$7,A52-1))</f>
        <v>47832</v>
      </c>
      <c r="C52" s="22">
        <f>IF(A52="","",H51)</f>
        <v>285527.98</v>
      </c>
      <c r="D52" s="22">
        <f>IF(A52="","",MIN('Calculator'!$B$10,C52+E52))</f>
        <v>1896.21</v>
      </c>
      <c r="E52" s="22">
        <f>IF(A52="","",ROUND(C52*'Calculator'!$B$5/12,2))</f>
        <v>1546.61</v>
      </c>
      <c r="F52" s="22">
        <f>IF(A52="","",D52-E52)</f>
        <v>349.6</v>
      </c>
      <c r="G52" s="22">
        <f>IF(A52="","",MAX(0,MIN(N('Calculator'!$B$8),C52-F52)))</f>
        <v>0</v>
      </c>
      <c r="H52" s="23">
        <f>IF(A52="","",ROUND(C52-F52-G52,2))</f>
        <v>285178.38</v>
      </c>
      <c r="I52" s="20">
        <f>IF(A52="","",ROUNDUP(A52/12,0))</f>
        <v>4</v>
      </c>
    </row>
    <row r="53" spans="1:9" x14ac:dyDescent="0.25">
      <c r="A53" s="20">
        <f>IF(H52="","",IF(H52&gt;0.005,A52+1,""))</f>
        <v>49</v>
      </c>
      <c r="B53" s="21">
        <f>IF(A53="","",EDATE('Calculator'!$B$7,A53-1))</f>
        <v>47863</v>
      </c>
      <c r="C53" s="22">
        <f>IF(A53="","",H52)</f>
        <v>285178.38</v>
      </c>
      <c r="D53" s="22">
        <f>IF(A53="","",MIN('Calculator'!$B$10,C53+E53))</f>
        <v>1896.21</v>
      </c>
      <c r="E53" s="22">
        <f>IF(A53="","",ROUND(C53*'Calculator'!$B$5/12,2))</f>
        <v>1544.72</v>
      </c>
      <c r="F53" s="22">
        <f>IF(A53="","",D53-E53)</f>
        <v>351.49</v>
      </c>
      <c r="G53" s="22">
        <f>IF(A53="","",MAX(0,MIN(N('Calculator'!$B$8),C53-F53)))</f>
        <v>0</v>
      </c>
      <c r="H53" s="23">
        <f>IF(A53="","",ROUND(C53-F53-G53,2))</f>
        <v>284826.89</v>
      </c>
      <c r="I53" s="20">
        <f>IF(A53="","",ROUNDUP(A53/12,0))</f>
        <v>5</v>
      </c>
    </row>
    <row r="54" spans="1:9" x14ac:dyDescent="0.25">
      <c r="A54" s="20">
        <f>IF(H53="","",IF(H53&gt;0.005,A53+1,""))</f>
        <v>50</v>
      </c>
      <c r="B54" s="21">
        <f>IF(A54="","",EDATE('Calculator'!$B$7,A54-1))</f>
        <v>47894</v>
      </c>
      <c r="C54" s="22">
        <f>IF(A54="","",H53)</f>
        <v>284826.89</v>
      </c>
      <c r="D54" s="22">
        <f>IF(A54="","",MIN('Calculator'!$B$10,C54+E54))</f>
        <v>1896.21</v>
      </c>
      <c r="E54" s="22">
        <f>IF(A54="","",ROUND(C54*'Calculator'!$B$5/12,2))</f>
        <v>1542.81</v>
      </c>
      <c r="F54" s="22">
        <f>IF(A54="","",D54-E54)</f>
        <v>353.4</v>
      </c>
      <c r="G54" s="22">
        <f>IF(A54="","",MAX(0,MIN(N('Calculator'!$B$8),C54-F54)))</f>
        <v>0</v>
      </c>
      <c r="H54" s="23">
        <f>IF(A54="","",ROUND(C54-F54-G54,2))</f>
        <v>284473.49</v>
      </c>
      <c r="I54" s="20">
        <f>IF(A54="","",ROUNDUP(A54/12,0))</f>
        <v>5</v>
      </c>
    </row>
    <row r="55" spans="1:9" x14ac:dyDescent="0.25">
      <c r="A55" s="20">
        <f>IF(H54="","",IF(H54&gt;0.005,A54+1,""))</f>
        <v>51</v>
      </c>
      <c r="B55" s="21">
        <f>IF(A55="","",EDATE('Calculator'!$B$7,A55-1))</f>
        <v>47922</v>
      </c>
      <c r="C55" s="22">
        <f>IF(A55="","",H54)</f>
        <v>284473.49</v>
      </c>
      <c r="D55" s="22">
        <f>IF(A55="","",MIN('Calculator'!$B$10,C55+E55))</f>
        <v>1896.21</v>
      </c>
      <c r="E55" s="22">
        <f>IF(A55="","",ROUND(C55*'Calculator'!$B$5/12,2))</f>
        <v>1540.9</v>
      </c>
      <c r="F55" s="22">
        <f>IF(A55="","",D55-E55)</f>
        <v>355.31</v>
      </c>
      <c r="G55" s="22">
        <f>IF(A55="","",MAX(0,MIN(N('Calculator'!$B$8),C55-F55)))</f>
        <v>0</v>
      </c>
      <c r="H55" s="23">
        <f>IF(A55="","",ROUND(C55-F55-G55,2))</f>
        <v>284118.18</v>
      </c>
      <c r="I55" s="20">
        <f>IF(A55="","",ROUNDUP(A55/12,0))</f>
        <v>5</v>
      </c>
    </row>
    <row r="56" spans="1:9" x14ac:dyDescent="0.25">
      <c r="A56" s="20">
        <f>IF(H55="","",IF(H55&gt;0.005,A55+1,""))</f>
        <v>52</v>
      </c>
      <c r="B56" s="21">
        <f>IF(A56="","",EDATE('Calculator'!$B$7,A56-1))</f>
        <v>47953</v>
      </c>
      <c r="C56" s="22">
        <f>IF(A56="","",H55)</f>
        <v>284118.18</v>
      </c>
      <c r="D56" s="22">
        <f>IF(A56="","",MIN('Calculator'!$B$10,C56+E56))</f>
        <v>1896.21</v>
      </c>
      <c r="E56" s="22">
        <f>IF(A56="","",ROUND(C56*'Calculator'!$B$5/12,2))</f>
        <v>1538.97</v>
      </c>
      <c r="F56" s="22">
        <f>IF(A56="","",D56-E56)</f>
        <v>357.24</v>
      </c>
      <c r="G56" s="22">
        <f>IF(A56="","",MAX(0,MIN(N('Calculator'!$B$8),C56-F56)))</f>
        <v>0</v>
      </c>
      <c r="H56" s="23">
        <f>IF(A56="","",ROUND(C56-F56-G56,2))</f>
        <v>283760.94</v>
      </c>
      <c r="I56" s="20">
        <f>IF(A56="","",ROUNDUP(A56/12,0))</f>
        <v>5</v>
      </c>
    </row>
    <row r="57" spans="1:9" x14ac:dyDescent="0.25">
      <c r="A57" s="20">
        <f>IF(H56="","",IF(H56&gt;0.005,A56+1,""))</f>
        <v>53</v>
      </c>
      <c r="B57" s="21">
        <f>IF(A57="","",EDATE('Calculator'!$B$7,A57-1))</f>
        <v>47983</v>
      </c>
      <c r="C57" s="22">
        <f>IF(A57="","",H56)</f>
        <v>283760.94</v>
      </c>
      <c r="D57" s="22">
        <f>IF(A57="","",MIN('Calculator'!$B$10,C57+E57))</f>
        <v>1896.21</v>
      </c>
      <c r="E57" s="22">
        <f>IF(A57="","",ROUND(C57*'Calculator'!$B$5/12,2))</f>
        <v>1537.04</v>
      </c>
      <c r="F57" s="22">
        <f>IF(A57="","",D57-E57)</f>
        <v>359.17</v>
      </c>
      <c r="G57" s="22">
        <f>IF(A57="","",MAX(0,MIN(N('Calculator'!$B$8),C57-F57)))</f>
        <v>0</v>
      </c>
      <c r="H57" s="23">
        <f>IF(A57="","",ROUND(C57-F57-G57,2))</f>
        <v>283401.77</v>
      </c>
      <c r="I57" s="20">
        <f>IF(A57="","",ROUNDUP(A57/12,0))</f>
        <v>5</v>
      </c>
    </row>
    <row r="58" spans="1:9" x14ac:dyDescent="0.25">
      <c r="A58" s="20">
        <f>IF(H57="","",IF(H57&gt;0.005,A57+1,""))</f>
        <v>54</v>
      </c>
      <c r="B58" s="21">
        <f>IF(A58="","",EDATE('Calculator'!$B$7,A58-1))</f>
        <v>48014</v>
      </c>
      <c r="C58" s="22">
        <f>IF(A58="","",H57)</f>
        <v>283401.77</v>
      </c>
      <c r="D58" s="22">
        <f>IF(A58="","",MIN('Calculator'!$B$10,C58+E58))</f>
        <v>1896.21</v>
      </c>
      <c r="E58" s="22">
        <f>IF(A58="","",ROUND(C58*'Calculator'!$B$5/12,2))</f>
        <v>1535.09</v>
      </c>
      <c r="F58" s="22">
        <f>IF(A58="","",D58-E58)</f>
        <v>361.12</v>
      </c>
      <c r="G58" s="22">
        <f>IF(A58="","",MAX(0,MIN(N('Calculator'!$B$8),C58-F58)))</f>
        <v>0</v>
      </c>
      <c r="H58" s="23">
        <f>IF(A58="","",ROUND(C58-F58-G58,2))</f>
        <v>283040.65</v>
      </c>
      <c r="I58" s="20">
        <f>IF(A58="","",ROUNDUP(A58/12,0))</f>
        <v>5</v>
      </c>
    </row>
    <row r="59" spans="1:9" x14ac:dyDescent="0.25">
      <c r="A59" s="20">
        <f>IF(H58="","",IF(H58&gt;0.005,A58+1,""))</f>
        <v>55</v>
      </c>
      <c r="B59" s="21">
        <f>IF(A59="","",EDATE('Calculator'!$B$7,A59-1))</f>
        <v>48044</v>
      </c>
      <c r="C59" s="22">
        <f>IF(A59="","",H58)</f>
        <v>283040.65</v>
      </c>
      <c r="D59" s="22">
        <f>IF(A59="","",MIN('Calculator'!$B$10,C59+E59))</f>
        <v>1896.21</v>
      </c>
      <c r="E59" s="22">
        <f>IF(A59="","",ROUND(C59*'Calculator'!$B$5/12,2))</f>
        <v>1533.14</v>
      </c>
      <c r="F59" s="22">
        <f>IF(A59="","",D59-E59)</f>
        <v>363.07</v>
      </c>
      <c r="G59" s="22">
        <f>IF(A59="","",MAX(0,MIN(N('Calculator'!$B$8),C59-F59)))</f>
        <v>0</v>
      </c>
      <c r="H59" s="23">
        <f>IF(A59="","",ROUND(C59-F59-G59,2))</f>
        <v>282677.58</v>
      </c>
      <c r="I59" s="20">
        <f>IF(A59="","",ROUNDUP(A59/12,0))</f>
        <v>5</v>
      </c>
    </row>
    <row r="60" spans="1:9" x14ac:dyDescent="0.25">
      <c r="A60" s="20">
        <f>IF(H59="","",IF(H59&gt;0.005,A59+1,""))</f>
        <v>56</v>
      </c>
      <c r="B60" s="21">
        <f>IF(A60="","",EDATE('Calculator'!$B$7,A60-1))</f>
        <v>48075</v>
      </c>
      <c r="C60" s="22">
        <f>IF(A60="","",H59)</f>
        <v>282677.58</v>
      </c>
      <c r="D60" s="22">
        <f>IF(A60="","",MIN('Calculator'!$B$10,C60+E60))</f>
        <v>1896.21</v>
      </c>
      <c r="E60" s="22">
        <f>IF(A60="","",ROUND(C60*'Calculator'!$B$5/12,2))</f>
        <v>1531.17</v>
      </c>
      <c r="F60" s="22">
        <f>IF(A60="","",D60-E60)</f>
        <v>365.04</v>
      </c>
      <c r="G60" s="22">
        <f>IF(A60="","",MAX(0,MIN(N('Calculator'!$B$8),C60-F60)))</f>
        <v>0</v>
      </c>
      <c r="H60" s="23">
        <f>IF(A60="","",ROUND(C60-F60-G60,2))</f>
        <v>282312.54</v>
      </c>
      <c r="I60" s="20">
        <f>IF(A60="","",ROUNDUP(A60/12,0))</f>
        <v>5</v>
      </c>
    </row>
    <row r="61" spans="1:9" x14ac:dyDescent="0.25">
      <c r="A61" s="20">
        <f>IF(H60="","",IF(H60&gt;0.005,A60+1,""))</f>
        <v>57</v>
      </c>
      <c r="B61" s="21">
        <f>IF(A61="","",EDATE('Calculator'!$B$7,A61-1))</f>
        <v>48106</v>
      </c>
      <c r="C61" s="22">
        <f>IF(A61="","",H60)</f>
        <v>282312.54</v>
      </c>
      <c r="D61" s="22">
        <f>IF(A61="","",MIN('Calculator'!$B$10,C61+E61))</f>
        <v>1896.21</v>
      </c>
      <c r="E61" s="22">
        <f>IF(A61="","",ROUND(C61*'Calculator'!$B$5/12,2))</f>
        <v>1529.19</v>
      </c>
      <c r="F61" s="22">
        <f>IF(A61="","",D61-E61)</f>
        <v>367.02</v>
      </c>
      <c r="G61" s="22">
        <f>IF(A61="","",MAX(0,MIN(N('Calculator'!$B$8),C61-F61)))</f>
        <v>0</v>
      </c>
      <c r="H61" s="23">
        <f>IF(A61="","",ROUND(C61-F61-G61,2))</f>
        <v>281945.52</v>
      </c>
      <c r="I61" s="20">
        <f>IF(A61="","",ROUNDUP(A61/12,0))</f>
        <v>5</v>
      </c>
    </row>
    <row r="62" spans="1:9" x14ac:dyDescent="0.25">
      <c r="A62" s="20">
        <f>IF(H61="","",IF(H61&gt;0.005,A61+1,""))</f>
        <v>58</v>
      </c>
      <c r="B62" s="21">
        <f>IF(A62="","",EDATE('Calculator'!$B$7,A62-1))</f>
        <v>48136</v>
      </c>
      <c r="C62" s="22">
        <f>IF(A62="","",H61)</f>
        <v>281945.52</v>
      </c>
      <c r="D62" s="22">
        <f>IF(A62="","",MIN('Calculator'!$B$10,C62+E62))</f>
        <v>1896.21</v>
      </c>
      <c r="E62" s="22">
        <f>IF(A62="","",ROUND(C62*'Calculator'!$B$5/12,2))</f>
        <v>1527.2</v>
      </c>
      <c r="F62" s="22">
        <f>IF(A62="","",D62-E62)</f>
        <v>369.01</v>
      </c>
      <c r="G62" s="22">
        <f>IF(A62="","",MAX(0,MIN(N('Calculator'!$B$8),C62-F62)))</f>
        <v>0</v>
      </c>
      <c r="H62" s="23">
        <f>IF(A62="","",ROUND(C62-F62-G62,2))</f>
        <v>281576.51</v>
      </c>
      <c r="I62" s="20">
        <f>IF(A62="","",ROUNDUP(A62/12,0))</f>
        <v>5</v>
      </c>
    </row>
    <row r="63" spans="1:9" x14ac:dyDescent="0.25">
      <c r="A63" s="20">
        <f>IF(H62="","",IF(H62&gt;0.005,A62+1,""))</f>
        <v>59</v>
      </c>
      <c r="B63" s="21">
        <f>IF(A63="","",EDATE('Calculator'!$B$7,A63-1))</f>
        <v>48167</v>
      </c>
      <c r="C63" s="22">
        <f>IF(A63="","",H62)</f>
        <v>281576.51</v>
      </c>
      <c r="D63" s="22">
        <f>IF(A63="","",MIN('Calculator'!$B$10,C63+E63))</f>
        <v>1896.21</v>
      </c>
      <c r="E63" s="22">
        <f>IF(A63="","",ROUND(C63*'Calculator'!$B$5/12,2))</f>
        <v>1525.21</v>
      </c>
      <c r="F63" s="22">
        <f>IF(A63="","",D63-E63)</f>
        <v>371</v>
      </c>
      <c r="G63" s="22">
        <f>IF(A63="","",MAX(0,MIN(N('Calculator'!$B$8),C63-F63)))</f>
        <v>0</v>
      </c>
      <c r="H63" s="23">
        <f>IF(A63="","",ROUND(C63-F63-G63,2))</f>
        <v>281205.51</v>
      </c>
      <c r="I63" s="20">
        <f>IF(A63="","",ROUNDUP(A63/12,0))</f>
        <v>5</v>
      </c>
    </row>
    <row r="64" spans="1:9" x14ac:dyDescent="0.25">
      <c r="A64" s="20">
        <f>IF(H63="","",IF(H63&gt;0.005,A63+1,""))</f>
        <v>60</v>
      </c>
      <c r="B64" s="21">
        <f>IF(A64="","",EDATE('Calculator'!$B$7,A64-1))</f>
        <v>48197</v>
      </c>
      <c r="C64" s="22">
        <f>IF(A64="","",H63)</f>
        <v>281205.51</v>
      </c>
      <c r="D64" s="22">
        <f>IF(A64="","",MIN('Calculator'!$B$10,C64+E64))</f>
        <v>1896.21</v>
      </c>
      <c r="E64" s="22">
        <f>IF(A64="","",ROUND(C64*'Calculator'!$B$5/12,2))</f>
        <v>1523.2</v>
      </c>
      <c r="F64" s="22">
        <f>IF(A64="","",D64-E64)</f>
        <v>373.01</v>
      </c>
      <c r="G64" s="22">
        <f>IF(A64="","",MAX(0,MIN(N('Calculator'!$B$8),C64-F64)))</f>
        <v>0</v>
      </c>
      <c r="H64" s="23">
        <f>IF(A64="","",ROUND(C64-F64-G64,2))</f>
        <v>280832.5</v>
      </c>
      <c r="I64" s="20">
        <f>IF(A64="","",ROUNDUP(A64/12,0))</f>
        <v>5</v>
      </c>
    </row>
    <row r="65" spans="1:9" x14ac:dyDescent="0.25">
      <c r="A65" s="20">
        <f>IF(H64="","",IF(H64&gt;0.005,A64+1,""))</f>
        <v>61</v>
      </c>
      <c r="B65" s="21">
        <f>IF(A65="","",EDATE('Calculator'!$B$7,A65-1))</f>
        <v>48228</v>
      </c>
      <c r="C65" s="22">
        <f>IF(A65="","",H64)</f>
        <v>280832.5</v>
      </c>
      <c r="D65" s="22">
        <f>IF(A65="","",MIN('Calculator'!$B$10,C65+E65))</f>
        <v>1896.21</v>
      </c>
      <c r="E65" s="22">
        <f>IF(A65="","",ROUND(C65*'Calculator'!$B$5/12,2))</f>
        <v>1521.18</v>
      </c>
      <c r="F65" s="22">
        <f>IF(A65="","",D65-E65)</f>
        <v>375.03</v>
      </c>
      <c r="G65" s="22">
        <f>IF(A65="","",MAX(0,MIN(N('Calculator'!$B$8),C65-F65)))</f>
        <v>0</v>
      </c>
      <c r="H65" s="23">
        <f>IF(A65="","",ROUND(C65-F65-G65,2))</f>
        <v>280457.47</v>
      </c>
      <c r="I65" s="20">
        <f>IF(A65="","",ROUNDUP(A65/12,0))</f>
        <v>6</v>
      </c>
    </row>
    <row r="66" spans="1:9" x14ac:dyDescent="0.25">
      <c r="A66" s="20">
        <f>IF(H65="","",IF(H65&gt;0.005,A65+1,""))</f>
        <v>62</v>
      </c>
      <c r="B66" s="21">
        <f>IF(A66="","",EDATE('Calculator'!$B$7,A66-1))</f>
        <v>48259</v>
      </c>
      <c r="C66" s="22">
        <f>IF(A66="","",H65)</f>
        <v>280457.47</v>
      </c>
      <c r="D66" s="22">
        <f>IF(A66="","",MIN('Calculator'!$B$10,C66+E66))</f>
        <v>1896.21</v>
      </c>
      <c r="E66" s="22">
        <f>IF(A66="","",ROUND(C66*'Calculator'!$B$5/12,2))</f>
        <v>1519.14</v>
      </c>
      <c r="F66" s="22">
        <f>IF(A66="","",D66-E66)</f>
        <v>377.07</v>
      </c>
      <c r="G66" s="22">
        <f>IF(A66="","",MAX(0,MIN(N('Calculator'!$B$8),C66-F66)))</f>
        <v>0</v>
      </c>
      <c r="H66" s="23">
        <f>IF(A66="","",ROUND(C66-F66-G66,2))</f>
        <v>280080.4</v>
      </c>
      <c r="I66" s="20">
        <f>IF(A66="","",ROUNDUP(A66/12,0))</f>
        <v>6</v>
      </c>
    </row>
    <row r="67" spans="1:9" x14ac:dyDescent="0.25">
      <c r="A67" s="20">
        <f>IF(H66="","",IF(H66&gt;0.005,A66+1,""))</f>
        <v>63</v>
      </c>
      <c r="B67" s="21">
        <f>IF(A67="","",EDATE('Calculator'!$B$7,A67-1))</f>
        <v>48288</v>
      </c>
      <c r="C67" s="22">
        <f>IF(A67="","",H66)</f>
        <v>280080.4</v>
      </c>
      <c r="D67" s="22">
        <f>IF(A67="","",MIN('Calculator'!$B$10,C67+E67))</f>
        <v>1896.21</v>
      </c>
      <c r="E67" s="22">
        <f>IF(A67="","",ROUND(C67*'Calculator'!$B$5/12,2))</f>
        <v>1517.1</v>
      </c>
      <c r="F67" s="22">
        <f>IF(A67="","",D67-E67)</f>
        <v>379.11</v>
      </c>
      <c r="G67" s="22">
        <f>IF(A67="","",MAX(0,MIN(N('Calculator'!$B$8),C67-F67)))</f>
        <v>0</v>
      </c>
      <c r="H67" s="23">
        <f>IF(A67="","",ROUND(C67-F67-G67,2))</f>
        <v>279701.29</v>
      </c>
      <c r="I67" s="20">
        <f>IF(A67="","",ROUNDUP(A67/12,0))</f>
        <v>6</v>
      </c>
    </row>
    <row r="68" spans="1:9" x14ac:dyDescent="0.25">
      <c r="A68" s="20">
        <f>IF(H67="","",IF(H67&gt;0.005,A67+1,""))</f>
        <v>64</v>
      </c>
      <c r="B68" s="21">
        <f>IF(A68="","",EDATE('Calculator'!$B$7,A68-1))</f>
        <v>48319</v>
      </c>
      <c r="C68" s="22">
        <f>IF(A68="","",H67)</f>
        <v>279701.29</v>
      </c>
      <c r="D68" s="22">
        <f>IF(A68="","",MIN('Calculator'!$B$10,C68+E68))</f>
        <v>1896.21</v>
      </c>
      <c r="E68" s="22">
        <f>IF(A68="","",ROUND(C68*'Calculator'!$B$5/12,2))</f>
        <v>1515.05</v>
      </c>
      <c r="F68" s="22">
        <f>IF(A68="","",D68-E68)</f>
        <v>381.16</v>
      </c>
      <c r="G68" s="22">
        <f>IF(A68="","",MAX(0,MIN(N('Calculator'!$B$8),C68-F68)))</f>
        <v>0</v>
      </c>
      <c r="H68" s="23">
        <f>IF(A68="","",ROUND(C68-F68-G68,2))</f>
        <v>279320.13</v>
      </c>
      <c r="I68" s="20">
        <f>IF(A68="","",ROUNDUP(A68/12,0))</f>
        <v>6</v>
      </c>
    </row>
    <row r="69" spans="1:9" x14ac:dyDescent="0.25">
      <c r="A69" s="20">
        <f>IF(H68="","",IF(H68&gt;0.005,A68+1,""))</f>
        <v>65</v>
      </c>
      <c r="B69" s="21">
        <f>IF(A69="","",EDATE('Calculator'!$B$7,A69-1))</f>
        <v>48349</v>
      </c>
      <c r="C69" s="22">
        <f>IF(A69="","",H68)</f>
        <v>279320.13</v>
      </c>
      <c r="D69" s="22">
        <f>IF(A69="","",MIN('Calculator'!$B$10,C69+E69))</f>
        <v>1896.21</v>
      </c>
      <c r="E69" s="22">
        <f>IF(A69="","",ROUND(C69*'Calculator'!$B$5/12,2))</f>
        <v>1512.98</v>
      </c>
      <c r="F69" s="22">
        <f>IF(A69="","",D69-E69)</f>
        <v>383.23</v>
      </c>
      <c r="G69" s="22">
        <f>IF(A69="","",MAX(0,MIN(N('Calculator'!$B$8),C69-F69)))</f>
        <v>0</v>
      </c>
      <c r="H69" s="23">
        <f>IF(A69="","",ROUND(C69-F69-G69,2))</f>
        <v>278936.9</v>
      </c>
      <c r="I69" s="20">
        <f>IF(A69="","",ROUNDUP(A69/12,0))</f>
        <v>6</v>
      </c>
    </row>
    <row r="70" spans="1:9" x14ac:dyDescent="0.25">
      <c r="A70" s="20">
        <f>IF(H69="","",IF(H69&gt;0.005,A69+1,""))</f>
        <v>66</v>
      </c>
      <c r="B70" s="21">
        <f>IF(A70="","",EDATE('Calculator'!$B$7,A70-1))</f>
        <v>48380</v>
      </c>
      <c r="C70" s="22">
        <f>IF(A70="","",H69)</f>
        <v>278936.9</v>
      </c>
      <c r="D70" s="22">
        <f>IF(A70="","",MIN('Calculator'!$B$10,C70+E70))</f>
        <v>1896.21</v>
      </c>
      <c r="E70" s="22">
        <f>IF(A70="","",ROUND(C70*'Calculator'!$B$5/12,2))</f>
        <v>1510.91</v>
      </c>
      <c r="F70" s="22">
        <f>IF(A70="","",D70-E70)</f>
        <v>385.3</v>
      </c>
      <c r="G70" s="22">
        <f>IF(A70="","",MAX(0,MIN(N('Calculator'!$B$8),C70-F70)))</f>
        <v>0</v>
      </c>
      <c r="H70" s="23">
        <f>IF(A70="","",ROUND(C70-F70-G70,2))</f>
        <v>278551.6</v>
      </c>
      <c r="I70" s="20">
        <f>IF(A70="","",ROUNDUP(A70/12,0))</f>
        <v>6</v>
      </c>
    </row>
    <row r="71" spans="1:9" x14ac:dyDescent="0.25">
      <c r="A71" s="20">
        <f>IF(H70="","",IF(H70&gt;0.005,A70+1,""))</f>
        <v>67</v>
      </c>
      <c r="B71" s="21">
        <f>IF(A71="","",EDATE('Calculator'!$B$7,A71-1))</f>
        <v>48410</v>
      </c>
      <c r="C71" s="22">
        <f>IF(A71="","",H70)</f>
        <v>278551.6</v>
      </c>
      <c r="D71" s="22">
        <f>IF(A71="","",MIN('Calculator'!$B$10,C71+E71))</f>
        <v>1896.21</v>
      </c>
      <c r="E71" s="22">
        <f>IF(A71="","",ROUND(C71*'Calculator'!$B$5/12,2))</f>
        <v>1508.82</v>
      </c>
      <c r="F71" s="22">
        <f>IF(A71="","",D71-E71)</f>
        <v>387.39</v>
      </c>
      <c r="G71" s="22">
        <f>IF(A71="","",MAX(0,MIN(N('Calculator'!$B$8),C71-F71)))</f>
        <v>0</v>
      </c>
      <c r="H71" s="23">
        <f>IF(A71="","",ROUND(C71-F71-G71,2))</f>
        <v>278164.21</v>
      </c>
      <c r="I71" s="20">
        <f>IF(A71="","",ROUNDUP(A71/12,0))</f>
        <v>6</v>
      </c>
    </row>
    <row r="72" spans="1:9" x14ac:dyDescent="0.25">
      <c r="A72" s="20">
        <f>IF(H71="","",IF(H71&gt;0.005,A71+1,""))</f>
        <v>68</v>
      </c>
      <c r="B72" s="21">
        <f>IF(A72="","",EDATE('Calculator'!$B$7,A72-1))</f>
        <v>48441</v>
      </c>
      <c r="C72" s="22">
        <f>IF(A72="","",H71)</f>
        <v>278164.21</v>
      </c>
      <c r="D72" s="22">
        <f>IF(A72="","",MIN('Calculator'!$B$10,C72+E72))</f>
        <v>1896.21</v>
      </c>
      <c r="E72" s="22">
        <f>IF(A72="","",ROUND(C72*'Calculator'!$B$5/12,2))</f>
        <v>1506.72</v>
      </c>
      <c r="F72" s="22">
        <f>IF(A72="","",D72-E72)</f>
        <v>389.49</v>
      </c>
      <c r="G72" s="22">
        <f>IF(A72="","",MAX(0,MIN(N('Calculator'!$B$8),C72-F72)))</f>
        <v>0</v>
      </c>
      <c r="H72" s="23">
        <f>IF(A72="","",ROUND(C72-F72-G72,2))</f>
        <v>277774.72</v>
      </c>
      <c r="I72" s="20">
        <f>IF(A72="","",ROUNDUP(A72/12,0))</f>
        <v>6</v>
      </c>
    </row>
    <row r="73" spans="1:9" x14ac:dyDescent="0.25">
      <c r="A73" s="20">
        <f>IF(H72="","",IF(H72&gt;0.005,A72+1,""))</f>
        <v>69</v>
      </c>
      <c r="B73" s="21">
        <f>IF(A73="","",EDATE('Calculator'!$B$7,A73-1))</f>
        <v>48472</v>
      </c>
      <c r="C73" s="22">
        <f>IF(A73="","",H72)</f>
        <v>277774.72</v>
      </c>
      <c r="D73" s="22">
        <f>IF(A73="","",MIN('Calculator'!$B$10,C73+E73))</f>
        <v>1896.21</v>
      </c>
      <c r="E73" s="22">
        <f>IF(A73="","",ROUND(C73*'Calculator'!$B$5/12,2))</f>
        <v>1504.61</v>
      </c>
      <c r="F73" s="22">
        <f>IF(A73="","",D73-E73)</f>
        <v>391.6</v>
      </c>
      <c r="G73" s="22">
        <f>IF(A73="","",MAX(0,MIN(N('Calculator'!$B$8),C73-F73)))</f>
        <v>0</v>
      </c>
      <c r="H73" s="23">
        <f>IF(A73="","",ROUND(C73-F73-G73,2))</f>
        <v>277383.12</v>
      </c>
      <c r="I73" s="20">
        <f>IF(A73="","",ROUNDUP(A73/12,0))</f>
        <v>6</v>
      </c>
    </row>
    <row r="74" spans="1:9" x14ac:dyDescent="0.25">
      <c r="A74" s="20">
        <f>IF(H73="","",IF(H73&gt;0.005,A73+1,""))</f>
        <v>70</v>
      </c>
      <c r="B74" s="21">
        <f>IF(A74="","",EDATE('Calculator'!$B$7,A74-1))</f>
        <v>48502</v>
      </c>
      <c r="C74" s="22">
        <f>IF(A74="","",H73)</f>
        <v>277383.12</v>
      </c>
      <c r="D74" s="22">
        <f>IF(A74="","",MIN('Calculator'!$B$10,C74+E74))</f>
        <v>1896.21</v>
      </c>
      <c r="E74" s="22">
        <f>IF(A74="","",ROUND(C74*'Calculator'!$B$5/12,2))</f>
        <v>1502.49</v>
      </c>
      <c r="F74" s="22">
        <f>IF(A74="","",D74-E74)</f>
        <v>393.72</v>
      </c>
      <c r="G74" s="22">
        <f>IF(A74="","",MAX(0,MIN(N('Calculator'!$B$8),C74-F74)))</f>
        <v>0</v>
      </c>
      <c r="H74" s="23">
        <f>IF(A74="","",ROUND(C74-F74-G74,2))</f>
        <v>276989.4</v>
      </c>
      <c r="I74" s="20">
        <f>IF(A74="","",ROUNDUP(A74/12,0))</f>
        <v>6</v>
      </c>
    </row>
    <row r="75" spans="1:9" x14ac:dyDescent="0.25">
      <c r="A75" s="20">
        <f>IF(H74="","",IF(H74&gt;0.005,A74+1,""))</f>
        <v>71</v>
      </c>
      <c r="B75" s="21">
        <f>IF(A75="","",EDATE('Calculator'!$B$7,A75-1))</f>
        <v>48533</v>
      </c>
      <c r="C75" s="22">
        <f>IF(A75="","",H74)</f>
        <v>276989.4</v>
      </c>
      <c r="D75" s="22">
        <f>IF(A75="","",MIN('Calculator'!$B$10,C75+E75))</f>
        <v>1896.21</v>
      </c>
      <c r="E75" s="22">
        <f>IF(A75="","",ROUND(C75*'Calculator'!$B$5/12,2))</f>
        <v>1500.36</v>
      </c>
      <c r="F75" s="22">
        <f>IF(A75="","",D75-E75)</f>
        <v>395.85</v>
      </c>
      <c r="G75" s="22">
        <f>IF(A75="","",MAX(0,MIN(N('Calculator'!$B$8),C75-F75)))</f>
        <v>0</v>
      </c>
      <c r="H75" s="23">
        <f>IF(A75="","",ROUND(C75-F75-G75,2))</f>
        <v>276593.55</v>
      </c>
      <c r="I75" s="20">
        <f>IF(A75="","",ROUNDUP(A75/12,0))</f>
        <v>6</v>
      </c>
    </row>
    <row r="76" spans="1:9" x14ac:dyDescent="0.25">
      <c r="A76" s="20">
        <f>IF(H75="","",IF(H75&gt;0.005,A75+1,""))</f>
        <v>72</v>
      </c>
      <c r="B76" s="21">
        <f>IF(A76="","",EDATE('Calculator'!$B$7,A76-1))</f>
        <v>48563</v>
      </c>
      <c r="C76" s="22">
        <f>IF(A76="","",H75)</f>
        <v>276593.55</v>
      </c>
      <c r="D76" s="22">
        <f>IF(A76="","",MIN('Calculator'!$B$10,C76+E76))</f>
        <v>1896.21</v>
      </c>
      <c r="E76" s="22">
        <f>IF(A76="","",ROUND(C76*'Calculator'!$B$5/12,2))</f>
        <v>1498.22</v>
      </c>
      <c r="F76" s="22">
        <f>IF(A76="","",D76-E76)</f>
        <v>397.99</v>
      </c>
      <c r="G76" s="22">
        <f>IF(A76="","",MAX(0,MIN(N('Calculator'!$B$8),C76-F76)))</f>
        <v>0</v>
      </c>
      <c r="H76" s="23">
        <f>IF(A76="","",ROUND(C76-F76-G76,2))</f>
        <v>276195.56</v>
      </c>
      <c r="I76" s="20">
        <f>IF(A76="","",ROUNDUP(A76/12,0))</f>
        <v>6</v>
      </c>
    </row>
    <row r="77" spans="1:9" x14ac:dyDescent="0.25">
      <c r="A77" s="20">
        <f>IF(H76="","",IF(H76&gt;0.005,A76+1,""))</f>
        <v>73</v>
      </c>
      <c r="B77" s="21">
        <f>IF(A77="","",EDATE('Calculator'!$B$7,A77-1))</f>
        <v>48594</v>
      </c>
      <c r="C77" s="22">
        <f>IF(A77="","",H76)</f>
        <v>276195.56</v>
      </c>
      <c r="D77" s="22">
        <f>IF(A77="","",MIN('Calculator'!$B$10,C77+E77))</f>
        <v>1896.21</v>
      </c>
      <c r="E77" s="22">
        <f>IF(A77="","",ROUND(C77*'Calculator'!$B$5/12,2))</f>
        <v>1496.06</v>
      </c>
      <c r="F77" s="22">
        <f>IF(A77="","",D77-E77)</f>
        <v>400.15</v>
      </c>
      <c r="G77" s="22">
        <f>IF(A77="","",MAX(0,MIN(N('Calculator'!$B$8),C77-F77)))</f>
        <v>0</v>
      </c>
      <c r="H77" s="23">
        <f>IF(A77="","",ROUND(C77-F77-G77,2))</f>
        <v>275795.41</v>
      </c>
      <c r="I77" s="20">
        <f>IF(A77="","",ROUNDUP(A77/12,0))</f>
        <v>7</v>
      </c>
    </row>
    <row r="78" spans="1:9" x14ac:dyDescent="0.25">
      <c r="A78" s="20">
        <f>IF(H77="","",IF(H77&gt;0.005,A77+1,""))</f>
        <v>74</v>
      </c>
      <c r="B78" s="21">
        <f>IF(A78="","",EDATE('Calculator'!$B$7,A78-1))</f>
        <v>48625</v>
      </c>
      <c r="C78" s="22">
        <f>IF(A78="","",H77)</f>
        <v>275795.41</v>
      </c>
      <c r="D78" s="22">
        <f>IF(A78="","",MIN('Calculator'!$B$10,C78+E78))</f>
        <v>1896.21</v>
      </c>
      <c r="E78" s="22">
        <f>IF(A78="","",ROUND(C78*'Calculator'!$B$5/12,2))</f>
        <v>1493.89</v>
      </c>
      <c r="F78" s="22">
        <f>IF(A78="","",D78-E78)</f>
        <v>402.32</v>
      </c>
      <c r="G78" s="22">
        <f>IF(A78="","",MAX(0,MIN(N('Calculator'!$B$8),C78-F78)))</f>
        <v>0</v>
      </c>
      <c r="H78" s="23">
        <f>IF(A78="","",ROUND(C78-F78-G78,2))</f>
        <v>275393.09</v>
      </c>
      <c r="I78" s="20">
        <f>IF(A78="","",ROUNDUP(A78/12,0))</f>
        <v>7</v>
      </c>
    </row>
    <row r="79" spans="1:9" x14ac:dyDescent="0.25">
      <c r="A79" s="20">
        <f>IF(H78="","",IF(H78&gt;0.005,A78+1,""))</f>
        <v>75</v>
      </c>
      <c r="B79" s="21">
        <f>IF(A79="","",EDATE('Calculator'!$B$7,A79-1))</f>
        <v>48653</v>
      </c>
      <c r="C79" s="22">
        <f>IF(A79="","",H78)</f>
        <v>275393.09</v>
      </c>
      <c r="D79" s="22">
        <f>IF(A79="","",MIN('Calculator'!$B$10,C79+E79))</f>
        <v>1896.21</v>
      </c>
      <c r="E79" s="22">
        <f>IF(A79="","",ROUND(C79*'Calculator'!$B$5/12,2))</f>
        <v>1491.71</v>
      </c>
      <c r="F79" s="22">
        <f>IF(A79="","",D79-E79)</f>
        <v>404.5</v>
      </c>
      <c r="G79" s="22">
        <f>IF(A79="","",MAX(0,MIN(N('Calculator'!$B$8),C79-F79)))</f>
        <v>0</v>
      </c>
      <c r="H79" s="23">
        <f>IF(A79="","",ROUND(C79-F79-G79,2))</f>
        <v>274988.59</v>
      </c>
      <c r="I79" s="20">
        <f>IF(A79="","",ROUNDUP(A79/12,0))</f>
        <v>7</v>
      </c>
    </row>
    <row r="80" spans="1:9" x14ac:dyDescent="0.25">
      <c r="A80" s="20">
        <f>IF(H79="","",IF(H79&gt;0.005,A79+1,""))</f>
        <v>76</v>
      </c>
      <c r="B80" s="21">
        <f>IF(A80="","",EDATE('Calculator'!$B$7,A80-1))</f>
        <v>48684</v>
      </c>
      <c r="C80" s="22">
        <f>IF(A80="","",H79)</f>
        <v>274988.59</v>
      </c>
      <c r="D80" s="22">
        <f>IF(A80="","",MIN('Calculator'!$B$10,C80+E80))</f>
        <v>1896.21</v>
      </c>
      <c r="E80" s="22">
        <f>IF(A80="","",ROUND(C80*'Calculator'!$B$5/12,2))</f>
        <v>1489.52</v>
      </c>
      <c r="F80" s="22">
        <f>IF(A80="","",D80-E80)</f>
        <v>406.69</v>
      </c>
      <c r="G80" s="22">
        <f>IF(A80="","",MAX(0,MIN(N('Calculator'!$B$8),C80-F80)))</f>
        <v>0</v>
      </c>
      <c r="H80" s="23">
        <f>IF(A80="","",ROUND(C80-F80-G80,2))</f>
        <v>274581.9</v>
      </c>
      <c r="I80" s="20">
        <f>IF(A80="","",ROUNDUP(A80/12,0))</f>
        <v>7</v>
      </c>
    </row>
    <row r="81" spans="1:9" x14ac:dyDescent="0.25">
      <c r="A81" s="20">
        <f>IF(H80="","",IF(H80&gt;0.005,A80+1,""))</f>
        <v>77</v>
      </c>
      <c r="B81" s="21">
        <f>IF(A81="","",EDATE('Calculator'!$B$7,A81-1))</f>
        <v>48714</v>
      </c>
      <c r="C81" s="22">
        <f>IF(A81="","",H80)</f>
        <v>274581.9</v>
      </c>
      <c r="D81" s="22">
        <f>IF(A81="","",MIN('Calculator'!$B$10,C81+E81))</f>
        <v>1896.21</v>
      </c>
      <c r="E81" s="22">
        <f>IF(A81="","",ROUND(C81*'Calculator'!$B$5/12,2))</f>
        <v>1487.32</v>
      </c>
      <c r="F81" s="22">
        <f>IF(A81="","",D81-E81)</f>
        <v>408.89</v>
      </c>
      <c r="G81" s="22">
        <f>IF(A81="","",MAX(0,MIN(N('Calculator'!$B$8),C81-F81)))</f>
        <v>0</v>
      </c>
      <c r="H81" s="23">
        <f>IF(A81="","",ROUND(C81-F81-G81,2))</f>
        <v>274173.01</v>
      </c>
      <c r="I81" s="20">
        <f>IF(A81="","",ROUNDUP(A81/12,0))</f>
        <v>7</v>
      </c>
    </row>
    <row r="82" spans="1:9" x14ac:dyDescent="0.25">
      <c r="A82" s="20">
        <f>IF(H81="","",IF(H81&gt;0.005,A81+1,""))</f>
        <v>78</v>
      </c>
      <c r="B82" s="21">
        <f>IF(A82="","",EDATE('Calculator'!$B$7,A82-1))</f>
        <v>48745</v>
      </c>
      <c r="C82" s="22">
        <f>IF(A82="","",H81)</f>
        <v>274173.01</v>
      </c>
      <c r="D82" s="22">
        <f>IF(A82="","",MIN('Calculator'!$B$10,C82+E82))</f>
        <v>1896.21</v>
      </c>
      <c r="E82" s="22">
        <f>IF(A82="","",ROUND(C82*'Calculator'!$B$5/12,2))</f>
        <v>1485.1</v>
      </c>
      <c r="F82" s="22">
        <f>IF(A82="","",D82-E82)</f>
        <v>411.11</v>
      </c>
      <c r="G82" s="22">
        <f>IF(A82="","",MAX(0,MIN(N('Calculator'!$B$8),C82-F82)))</f>
        <v>0</v>
      </c>
      <c r="H82" s="23">
        <f>IF(A82="","",ROUND(C82-F82-G82,2))</f>
        <v>273761.9</v>
      </c>
      <c r="I82" s="20">
        <f>IF(A82="","",ROUNDUP(A82/12,0))</f>
        <v>7</v>
      </c>
    </row>
    <row r="83" spans="1:9" x14ac:dyDescent="0.25">
      <c r="A83" s="20">
        <f>IF(H82="","",IF(H82&gt;0.005,A82+1,""))</f>
        <v>79</v>
      </c>
      <c r="B83" s="21">
        <f>IF(A83="","",EDATE('Calculator'!$B$7,A83-1))</f>
        <v>48775</v>
      </c>
      <c r="C83" s="22">
        <f>IF(A83="","",H82)</f>
        <v>273761.9</v>
      </c>
      <c r="D83" s="22">
        <f>IF(A83="","",MIN('Calculator'!$B$10,C83+E83))</f>
        <v>1896.21</v>
      </c>
      <c r="E83" s="22">
        <f>IF(A83="","",ROUND(C83*'Calculator'!$B$5/12,2))</f>
        <v>1482.88</v>
      </c>
      <c r="F83" s="22">
        <f>IF(A83="","",D83-E83)</f>
        <v>413.33</v>
      </c>
      <c r="G83" s="22">
        <f>IF(A83="","",MAX(0,MIN(N('Calculator'!$B$8),C83-F83)))</f>
        <v>0</v>
      </c>
      <c r="H83" s="23">
        <f>IF(A83="","",ROUND(C83-F83-G83,2))</f>
        <v>273348.57</v>
      </c>
      <c r="I83" s="20">
        <f>IF(A83="","",ROUNDUP(A83/12,0))</f>
        <v>7</v>
      </c>
    </row>
    <row r="84" spans="1:9" x14ac:dyDescent="0.25">
      <c r="A84" s="20">
        <f>IF(H83="","",IF(H83&gt;0.005,A83+1,""))</f>
        <v>80</v>
      </c>
      <c r="B84" s="21">
        <f>IF(A84="","",EDATE('Calculator'!$B$7,A84-1))</f>
        <v>48806</v>
      </c>
      <c r="C84" s="22">
        <f>IF(A84="","",H83)</f>
        <v>273348.57</v>
      </c>
      <c r="D84" s="22">
        <f>IF(A84="","",MIN('Calculator'!$B$10,C84+E84))</f>
        <v>1896.21</v>
      </c>
      <c r="E84" s="22">
        <f>IF(A84="","",ROUND(C84*'Calculator'!$B$5/12,2))</f>
        <v>1480.64</v>
      </c>
      <c r="F84" s="22">
        <f>IF(A84="","",D84-E84)</f>
        <v>415.57</v>
      </c>
      <c r="G84" s="22">
        <f>IF(A84="","",MAX(0,MIN(N('Calculator'!$B$8),C84-F84)))</f>
        <v>0</v>
      </c>
      <c r="H84" s="23">
        <f>IF(A84="","",ROUND(C84-F84-G84,2))</f>
        <v>272933</v>
      </c>
      <c r="I84" s="20">
        <f>IF(A84="","",ROUNDUP(A84/12,0))</f>
        <v>7</v>
      </c>
    </row>
    <row r="85" spans="1:9" x14ac:dyDescent="0.25">
      <c r="A85" s="20">
        <f>IF(H84="","",IF(H84&gt;0.005,A84+1,""))</f>
        <v>81</v>
      </c>
      <c r="B85" s="21">
        <f>IF(A85="","",EDATE('Calculator'!$B$7,A85-1))</f>
        <v>48837</v>
      </c>
      <c r="C85" s="22">
        <f>IF(A85="","",H84)</f>
        <v>272933</v>
      </c>
      <c r="D85" s="22">
        <f>IF(A85="","",MIN('Calculator'!$B$10,C85+E85))</f>
        <v>1896.21</v>
      </c>
      <c r="E85" s="22">
        <f>IF(A85="","",ROUND(C85*'Calculator'!$B$5/12,2))</f>
        <v>1478.39</v>
      </c>
      <c r="F85" s="22">
        <f>IF(A85="","",D85-E85)</f>
        <v>417.82</v>
      </c>
      <c r="G85" s="22">
        <f>IF(A85="","",MAX(0,MIN(N('Calculator'!$B$8),C85-F85)))</f>
        <v>0</v>
      </c>
      <c r="H85" s="23">
        <f>IF(A85="","",ROUND(C85-F85-G85,2))</f>
        <v>272515.18</v>
      </c>
      <c r="I85" s="20">
        <f>IF(A85="","",ROUNDUP(A85/12,0))</f>
        <v>7</v>
      </c>
    </row>
    <row r="86" spans="1:9" x14ac:dyDescent="0.25">
      <c r="A86" s="20">
        <f>IF(H85="","",IF(H85&gt;0.005,A85+1,""))</f>
        <v>82</v>
      </c>
      <c r="B86" s="21">
        <f>IF(A86="","",EDATE('Calculator'!$B$7,A86-1))</f>
        <v>48867</v>
      </c>
      <c r="C86" s="22">
        <f>IF(A86="","",H85)</f>
        <v>272515.18</v>
      </c>
      <c r="D86" s="22">
        <f>IF(A86="","",MIN('Calculator'!$B$10,C86+E86))</f>
        <v>1896.21</v>
      </c>
      <c r="E86" s="22">
        <f>IF(A86="","",ROUND(C86*'Calculator'!$B$5/12,2))</f>
        <v>1476.12</v>
      </c>
      <c r="F86" s="22">
        <f>IF(A86="","",D86-E86)</f>
        <v>420.09</v>
      </c>
      <c r="G86" s="22">
        <f>IF(A86="","",MAX(0,MIN(N('Calculator'!$B$8),C86-F86)))</f>
        <v>0</v>
      </c>
      <c r="H86" s="23">
        <f>IF(A86="","",ROUND(C86-F86-G86,2))</f>
        <v>272095.09</v>
      </c>
      <c r="I86" s="20">
        <f>IF(A86="","",ROUNDUP(A86/12,0))</f>
        <v>7</v>
      </c>
    </row>
    <row r="87" spans="1:9" x14ac:dyDescent="0.25">
      <c r="A87" s="20">
        <f>IF(H86="","",IF(H86&gt;0.005,A86+1,""))</f>
        <v>83</v>
      </c>
      <c r="B87" s="21">
        <f>IF(A87="","",EDATE('Calculator'!$B$7,A87-1))</f>
        <v>48898</v>
      </c>
      <c r="C87" s="22">
        <f>IF(A87="","",H86)</f>
        <v>272095.09</v>
      </c>
      <c r="D87" s="22">
        <f>IF(A87="","",MIN('Calculator'!$B$10,C87+E87))</f>
        <v>1896.21</v>
      </c>
      <c r="E87" s="22">
        <f>IF(A87="","",ROUND(C87*'Calculator'!$B$5/12,2))</f>
        <v>1473.85</v>
      </c>
      <c r="F87" s="22">
        <f>IF(A87="","",D87-E87)</f>
        <v>422.36</v>
      </c>
      <c r="G87" s="22">
        <f>IF(A87="","",MAX(0,MIN(N('Calculator'!$B$8),C87-F87)))</f>
        <v>0</v>
      </c>
      <c r="H87" s="23">
        <f>IF(A87="","",ROUND(C87-F87-G87,2))</f>
        <v>271672.73</v>
      </c>
      <c r="I87" s="20">
        <f>IF(A87="","",ROUNDUP(A87/12,0))</f>
        <v>7</v>
      </c>
    </row>
    <row r="88" spans="1:9" x14ac:dyDescent="0.25">
      <c r="A88" s="20">
        <f>IF(H87="","",IF(H87&gt;0.005,A87+1,""))</f>
        <v>84</v>
      </c>
      <c r="B88" s="21">
        <f>IF(A88="","",EDATE('Calculator'!$B$7,A88-1))</f>
        <v>48928</v>
      </c>
      <c r="C88" s="22">
        <f>IF(A88="","",H87)</f>
        <v>271672.73</v>
      </c>
      <c r="D88" s="22">
        <f>IF(A88="","",MIN('Calculator'!$B$10,C88+E88))</f>
        <v>1896.21</v>
      </c>
      <c r="E88" s="22">
        <f>IF(A88="","",ROUND(C88*'Calculator'!$B$5/12,2))</f>
        <v>1471.56</v>
      </c>
      <c r="F88" s="22">
        <f>IF(A88="","",D88-E88)</f>
        <v>424.65</v>
      </c>
      <c r="G88" s="22">
        <f>IF(A88="","",MAX(0,MIN(N('Calculator'!$B$8),C88-F88)))</f>
        <v>0</v>
      </c>
      <c r="H88" s="23">
        <f>IF(A88="","",ROUND(C88-F88-G88,2))</f>
        <v>271248.08</v>
      </c>
      <c r="I88" s="20">
        <f>IF(A88="","",ROUNDUP(A88/12,0))</f>
        <v>7</v>
      </c>
    </row>
    <row r="89" spans="1:9" x14ac:dyDescent="0.25">
      <c r="A89" s="20">
        <f>IF(H88="","",IF(H88&gt;0.005,A88+1,""))</f>
        <v>85</v>
      </c>
      <c r="B89" s="21">
        <f>IF(A89="","",EDATE('Calculator'!$B$7,A89-1))</f>
        <v>48959</v>
      </c>
      <c r="C89" s="22">
        <f>IF(A89="","",H88)</f>
        <v>271248.08</v>
      </c>
      <c r="D89" s="22">
        <f>IF(A89="","",MIN('Calculator'!$B$10,C89+E89))</f>
        <v>1896.21</v>
      </c>
      <c r="E89" s="22">
        <f>IF(A89="","",ROUND(C89*'Calculator'!$B$5/12,2))</f>
        <v>1469.26</v>
      </c>
      <c r="F89" s="22">
        <f>IF(A89="","",D89-E89)</f>
        <v>426.95</v>
      </c>
      <c r="G89" s="22">
        <f>IF(A89="","",MAX(0,MIN(N('Calculator'!$B$8),C89-F89)))</f>
        <v>0</v>
      </c>
      <c r="H89" s="23">
        <f>IF(A89="","",ROUND(C89-F89-G89,2))</f>
        <v>270821.13</v>
      </c>
      <c r="I89" s="20">
        <f>IF(A89="","",ROUNDUP(A89/12,0))</f>
        <v>8</v>
      </c>
    </row>
    <row r="90" spans="1:9" x14ac:dyDescent="0.25">
      <c r="A90" s="20">
        <f>IF(H89="","",IF(H89&gt;0.005,A89+1,""))</f>
        <v>86</v>
      </c>
      <c r="B90" s="21">
        <f>IF(A90="","",EDATE('Calculator'!$B$7,A90-1))</f>
        <v>48990</v>
      </c>
      <c r="C90" s="22">
        <f>IF(A90="","",H89)</f>
        <v>270821.13</v>
      </c>
      <c r="D90" s="22">
        <f>IF(A90="","",MIN('Calculator'!$B$10,C90+E90))</f>
        <v>1896.21</v>
      </c>
      <c r="E90" s="22">
        <f>IF(A90="","",ROUND(C90*'Calculator'!$B$5/12,2))</f>
        <v>1466.95</v>
      </c>
      <c r="F90" s="22">
        <f>IF(A90="","",D90-E90)</f>
        <v>429.26</v>
      </c>
      <c r="G90" s="22">
        <f>IF(A90="","",MAX(0,MIN(N('Calculator'!$B$8),C90-F90)))</f>
        <v>0</v>
      </c>
      <c r="H90" s="23">
        <f>IF(A90="","",ROUND(C90-F90-G90,2))</f>
        <v>270391.87</v>
      </c>
      <c r="I90" s="20">
        <f>IF(A90="","",ROUNDUP(A90/12,0))</f>
        <v>8</v>
      </c>
    </row>
    <row r="91" spans="1:9" x14ac:dyDescent="0.25">
      <c r="A91" s="20">
        <f>IF(H90="","",IF(H90&gt;0.005,A90+1,""))</f>
        <v>87</v>
      </c>
      <c r="B91" s="21">
        <f>IF(A91="","",EDATE('Calculator'!$B$7,A91-1))</f>
        <v>49018</v>
      </c>
      <c r="C91" s="22">
        <f>IF(A91="","",H90)</f>
        <v>270391.87</v>
      </c>
      <c r="D91" s="22">
        <f>IF(A91="","",MIN('Calculator'!$B$10,C91+E91))</f>
        <v>1896.21</v>
      </c>
      <c r="E91" s="22">
        <f>IF(A91="","",ROUND(C91*'Calculator'!$B$5/12,2))</f>
        <v>1464.62</v>
      </c>
      <c r="F91" s="22">
        <f>IF(A91="","",D91-E91)</f>
        <v>431.59</v>
      </c>
      <c r="G91" s="22">
        <f>IF(A91="","",MAX(0,MIN(N('Calculator'!$B$8),C91-F91)))</f>
        <v>0</v>
      </c>
      <c r="H91" s="23">
        <f>IF(A91="","",ROUND(C91-F91-G91,2))</f>
        <v>269960.28</v>
      </c>
      <c r="I91" s="20">
        <f>IF(A91="","",ROUNDUP(A91/12,0))</f>
        <v>8</v>
      </c>
    </row>
    <row r="92" spans="1:9" x14ac:dyDescent="0.25">
      <c r="A92" s="20">
        <f>IF(H91="","",IF(H91&gt;0.005,A91+1,""))</f>
        <v>88</v>
      </c>
      <c r="B92" s="21">
        <f>IF(A92="","",EDATE('Calculator'!$B$7,A92-1))</f>
        <v>49049</v>
      </c>
      <c r="C92" s="22">
        <f>IF(A92="","",H91)</f>
        <v>269960.28</v>
      </c>
      <c r="D92" s="22">
        <f>IF(A92="","",MIN('Calculator'!$B$10,C92+E92))</f>
        <v>1896.21</v>
      </c>
      <c r="E92" s="22">
        <f>IF(A92="","",ROUND(C92*'Calculator'!$B$5/12,2))</f>
        <v>1462.28</v>
      </c>
      <c r="F92" s="22">
        <f>IF(A92="","",D92-E92)</f>
        <v>433.93</v>
      </c>
      <c r="G92" s="22">
        <f>IF(A92="","",MAX(0,MIN(N('Calculator'!$B$8),C92-F92)))</f>
        <v>0</v>
      </c>
      <c r="H92" s="23">
        <f>IF(A92="","",ROUND(C92-F92-G92,2))</f>
        <v>269526.35</v>
      </c>
      <c r="I92" s="20">
        <f>IF(A92="","",ROUNDUP(A92/12,0))</f>
        <v>8</v>
      </c>
    </row>
    <row r="93" spans="1:9" x14ac:dyDescent="0.25">
      <c r="A93" s="20">
        <f>IF(H92="","",IF(H92&gt;0.005,A92+1,""))</f>
        <v>89</v>
      </c>
      <c r="B93" s="21">
        <f>IF(A93="","",EDATE('Calculator'!$B$7,A93-1))</f>
        <v>49079</v>
      </c>
      <c r="C93" s="22">
        <f>IF(A93="","",H92)</f>
        <v>269526.35</v>
      </c>
      <c r="D93" s="22">
        <f>IF(A93="","",MIN('Calculator'!$B$10,C93+E93))</f>
        <v>1896.21</v>
      </c>
      <c r="E93" s="22">
        <f>IF(A93="","",ROUND(C93*'Calculator'!$B$5/12,2))</f>
        <v>1459.93</v>
      </c>
      <c r="F93" s="22">
        <f>IF(A93="","",D93-E93)</f>
        <v>436.28</v>
      </c>
      <c r="G93" s="22">
        <f>IF(A93="","",MAX(0,MIN(N('Calculator'!$B$8),C93-F93)))</f>
        <v>0</v>
      </c>
      <c r="H93" s="23">
        <f>IF(A93="","",ROUND(C93-F93-G93,2))</f>
        <v>269090.07</v>
      </c>
      <c r="I93" s="20">
        <f>IF(A93="","",ROUNDUP(A93/12,0))</f>
        <v>8</v>
      </c>
    </row>
    <row r="94" spans="1:9" x14ac:dyDescent="0.25">
      <c r="A94" s="20">
        <f>IF(H93="","",IF(H93&gt;0.005,A93+1,""))</f>
        <v>90</v>
      </c>
      <c r="B94" s="21">
        <f>IF(A94="","",EDATE('Calculator'!$B$7,A94-1))</f>
        <v>49110</v>
      </c>
      <c r="C94" s="22">
        <f>IF(A94="","",H93)</f>
        <v>269090.07</v>
      </c>
      <c r="D94" s="22">
        <f>IF(A94="","",MIN('Calculator'!$B$10,C94+E94))</f>
        <v>1896.21</v>
      </c>
      <c r="E94" s="22">
        <f>IF(A94="","",ROUND(C94*'Calculator'!$B$5/12,2))</f>
        <v>1457.57</v>
      </c>
      <c r="F94" s="22">
        <f>IF(A94="","",D94-E94)</f>
        <v>438.64</v>
      </c>
      <c r="G94" s="22">
        <f>IF(A94="","",MAX(0,MIN(N('Calculator'!$B$8),C94-F94)))</f>
        <v>0</v>
      </c>
      <c r="H94" s="23">
        <f>IF(A94="","",ROUND(C94-F94-G94,2))</f>
        <v>268651.43</v>
      </c>
      <c r="I94" s="20">
        <f>IF(A94="","",ROUNDUP(A94/12,0))</f>
        <v>8</v>
      </c>
    </row>
    <row r="95" spans="1:9" x14ac:dyDescent="0.25">
      <c r="A95" s="20">
        <f>IF(H94="","",IF(H94&gt;0.005,A94+1,""))</f>
        <v>91</v>
      </c>
      <c r="B95" s="21">
        <f>IF(A95="","",EDATE('Calculator'!$B$7,A95-1))</f>
        <v>49140</v>
      </c>
      <c r="C95" s="22">
        <f>IF(A95="","",H94)</f>
        <v>268651.43</v>
      </c>
      <c r="D95" s="22">
        <f>IF(A95="","",MIN('Calculator'!$B$10,C95+E95))</f>
        <v>1896.21</v>
      </c>
      <c r="E95" s="22">
        <f>IF(A95="","",ROUND(C95*'Calculator'!$B$5/12,2))</f>
        <v>1455.2</v>
      </c>
      <c r="F95" s="22">
        <f>IF(A95="","",D95-E95)</f>
        <v>441.01</v>
      </c>
      <c r="G95" s="22">
        <f>IF(A95="","",MAX(0,MIN(N('Calculator'!$B$8),C95-F95)))</f>
        <v>0</v>
      </c>
      <c r="H95" s="23">
        <f>IF(A95="","",ROUND(C95-F95-G95,2))</f>
        <v>268210.42</v>
      </c>
      <c r="I95" s="20">
        <f>IF(A95="","",ROUNDUP(A95/12,0))</f>
        <v>8</v>
      </c>
    </row>
    <row r="96" spans="1:9" x14ac:dyDescent="0.25">
      <c r="A96" s="20">
        <f>IF(H95="","",IF(H95&gt;0.005,A95+1,""))</f>
        <v>92</v>
      </c>
      <c r="B96" s="21">
        <f>IF(A96="","",EDATE('Calculator'!$B$7,A96-1))</f>
        <v>49171</v>
      </c>
      <c r="C96" s="22">
        <f>IF(A96="","",H95)</f>
        <v>268210.42</v>
      </c>
      <c r="D96" s="22">
        <f>IF(A96="","",MIN('Calculator'!$B$10,C96+E96))</f>
        <v>1896.21</v>
      </c>
      <c r="E96" s="22">
        <f>IF(A96="","",ROUND(C96*'Calculator'!$B$5/12,2))</f>
        <v>1452.81</v>
      </c>
      <c r="F96" s="22">
        <f>IF(A96="","",D96-E96)</f>
        <v>443.4</v>
      </c>
      <c r="G96" s="22">
        <f>IF(A96="","",MAX(0,MIN(N('Calculator'!$B$8),C96-F96)))</f>
        <v>0</v>
      </c>
      <c r="H96" s="23">
        <f>IF(A96="","",ROUND(C96-F96-G96,2))</f>
        <v>267767.02</v>
      </c>
      <c r="I96" s="20">
        <f>IF(A96="","",ROUNDUP(A96/12,0))</f>
        <v>8</v>
      </c>
    </row>
    <row r="97" spans="1:9" x14ac:dyDescent="0.25">
      <c r="A97" s="20">
        <f>IF(H96="","",IF(H96&gt;0.005,A96+1,""))</f>
        <v>93</v>
      </c>
      <c r="B97" s="21">
        <f>IF(A97="","",EDATE('Calculator'!$B$7,A97-1))</f>
        <v>49202</v>
      </c>
      <c r="C97" s="22">
        <f>IF(A97="","",H96)</f>
        <v>267767.02</v>
      </c>
      <c r="D97" s="22">
        <f>IF(A97="","",MIN('Calculator'!$B$10,C97+E97))</f>
        <v>1896.21</v>
      </c>
      <c r="E97" s="22">
        <f>IF(A97="","",ROUND(C97*'Calculator'!$B$5/12,2))</f>
        <v>1450.4</v>
      </c>
      <c r="F97" s="22">
        <f>IF(A97="","",D97-E97)</f>
        <v>445.81</v>
      </c>
      <c r="G97" s="22">
        <f>IF(A97="","",MAX(0,MIN(N('Calculator'!$B$8),C97-F97)))</f>
        <v>0</v>
      </c>
      <c r="H97" s="23">
        <f>IF(A97="","",ROUND(C97-F97-G97,2))</f>
        <v>267321.21</v>
      </c>
      <c r="I97" s="20">
        <f>IF(A97="","",ROUNDUP(A97/12,0))</f>
        <v>8</v>
      </c>
    </row>
    <row r="98" spans="1:9" x14ac:dyDescent="0.25">
      <c r="A98" s="20">
        <f>IF(H97="","",IF(H97&gt;0.005,A97+1,""))</f>
        <v>94</v>
      </c>
      <c r="B98" s="21">
        <f>IF(A98="","",EDATE('Calculator'!$B$7,A98-1))</f>
        <v>49232</v>
      </c>
      <c r="C98" s="22">
        <f>IF(A98="","",H97)</f>
        <v>267321.21</v>
      </c>
      <c r="D98" s="22">
        <f>IF(A98="","",MIN('Calculator'!$B$10,C98+E98))</f>
        <v>1896.21</v>
      </c>
      <c r="E98" s="22">
        <f>IF(A98="","",ROUND(C98*'Calculator'!$B$5/12,2))</f>
        <v>1447.99</v>
      </c>
      <c r="F98" s="22">
        <f>IF(A98="","",D98-E98)</f>
        <v>448.22</v>
      </c>
      <c r="G98" s="22">
        <f>IF(A98="","",MAX(0,MIN(N('Calculator'!$B$8),C98-F98)))</f>
        <v>0</v>
      </c>
      <c r="H98" s="23">
        <f>IF(A98="","",ROUND(C98-F98-G98,2))</f>
        <v>266872.99</v>
      </c>
      <c r="I98" s="20">
        <f>IF(A98="","",ROUNDUP(A98/12,0))</f>
        <v>8</v>
      </c>
    </row>
    <row r="99" spans="1:9" x14ac:dyDescent="0.25">
      <c r="A99" s="20">
        <f>IF(H98="","",IF(H98&gt;0.005,A98+1,""))</f>
        <v>95</v>
      </c>
      <c r="B99" s="21">
        <f>IF(A99="","",EDATE('Calculator'!$B$7,A99-1))</f>
        <v>49263</v>
      </c>
      <c r="C99" s="22">
        <f>IF(A99="","",H98)</f>
        <v>266872.99</v>
      </c>
      <c r="D99" s="22">
        <f>IF(A99="","",MIN('Calculator'!$B$10,C99+E99))</f>
        <v>1896.21</v>
      </c>
      <c r="E99" s="22">
        <f>IF(A99="","",ROUND(C99*'Calculator'!$B$5/12,2))</f>
        <v>1445.56</v>
      </c>
      <c r="F99" s="22">
        <f>IF(A99="","",D99-E99)</f>
        <v>450.65</v>
      </c>
      <c r="G99" s="22">
        <f>IF(A99="","",MAX(0,MIN(N('Calculator'!$B$8),C99-F99)))</f>
        <v>0</v>
      </c>
      <c r="H99" s="23">
        <f>IF(A99="","",ROUND(C99-F99-G99,2))</f>
        <v>266422.34</v>
      </c>
      <c r="I99" s="20">
        <f>IF(A99="","",ROUNDUP(A99/12,0))</f>
        <v>8</v>
      </c>
    </row>
    <row r="100" spans="1:9" x14ac:dyDescent="0.25">
      <c r="A100" s="20">
        <f>IF(H99="","",IF(H99&gt;0.005,A99+1,""))</f>
        <v>96</v>
      </c>
      <c r="B100" s="21">
        <f>IF(A100="","",EDATE('Calculator'!$B$7,A100-1))</f>
        <v>49293</v>
      </c>
      <c r="C100" s="22">
        <f>IF(A100="","",H99)</f>
        <v>266422.34</v>
      </c>
      <c r="D100" s="22">
        <f>IF(A100="","",MIN('Calculator'!$B$10,C100+E100))</f>
        <v>1896.21</v>
      </c>
      <c r="E100" s="22">
        <f>IF(A100="","",ROUND(C100*'Calculator'!$B$5/12,2))</f>
        <v>1443.12</v>
      </c>
      <c r="F100" s="22">
        <f>IF(A100="","",D100-E100)</f>
        <v>453.09</v>
      </c>
      <c r="G100" s="22">
        <f>IF(A100="","",MAX(0,MIN(N('Calculator'!$B$8),C100-F100)))</f>
        <v>0</v>
      </c>
      <c r="H100" s="23">
        <f>IF(A100="","",ROUND(C100-F100-G100,2))</f>
        <v>265969.25</v>
      </c>
      <c r="I100" s="20">
        <f>IF(A100="","",ROUNDUP(A100/12,0))</f>
        <v>8</v>
      </c>
    </row>
    <row r="101" spans="1:9" x14ac:dyDescent="0.25">
      <c r="A101" s="20">
        <f>IF(H100="","",IF(H100&gt;0.005,A100+1,""))</f>
        <v>97</v>
      </c>
      <c r="B101" s="21">
        <f>IF(A101="","",EDATE('Calculator'!$B$7,A101-1))</f>
        <v>49324</v>
      </c>
      <c r="C101" s="22">
        <f>IF(A101="","",H100)</f>
        <v>265969.25</v>
      </c>
      <c r="D101" s="22">
        <f>IF(A101="","",MIN('Calculator'!$B$10,C101+E101))</f>
        <v>1896.21</v>
      </c>
      <c r="E101" s="22">
        <f>IF(A101="","",ROUND(C101*'Calculator'!$B$5/12,2))</f>
        <v>1440.67</v>
      </c>
      <c r="F101" s="22">
        <f>IF(A101="","",D101-E101)</f>
        <v>455.54</v>
      </c>
      <c r="G101" s="22">
        <f>IF(A101="","",MAX(0,MIN(N('Calculator'!$B$8),C101-F101)))</f>
        <v>0</v>
      </c>
      <c r="H101" s="23">
        <f>IF(A101="","",ROUND(C101-F101-G101,2))</f>
        <v>265513.71</v>
      </c>
      <c r="I101" s="20">
        <f>IF(A101="","",ROUNDUP(A101/12,0))</f>
        <v>9</v>
      </c>
    </row>
    <row r="102" spans="1:9" x14ac:dyDescent="0.25">
      <c r="A102" s="20">
        <f>IF(H101="","",IF(H101&gt;0.005,A101+1,""))</f>
        <v>98</v>
      </c>
      <c r="B102" s="21">
        <f>IF(A102="","",EDATE('Calculator'!$B$7,A102-1))</f>
        <v>49355</v>
      </c>
      <c r="C102" s="22">
        <f>IF(A102="","",H101)</f>
        <v>265513.71</v>
      </c>
      <c r="D102" s="22">
        <f>IF(A102="","",MIN('Calculator'!$B$10,C102+E102))</f>
        <v>1896.21</v>
      </c>
      <c r="E102" s="22">
        <f>IF(A102="","",ROUND(C102*'Calculator'!$B$5/12,2))</f>
        <v>1438.2</v>
      </c>
      <c r="F102" s="22">
        <f>IF(A102="","",D102-E102)</f>
        <v>458.01</v>
      </c>
      <c r="G102" s="22">
        <f>IF(A102="","",MAX(0,MIN(N('Calculator'!$B$8),C102-F102)))</f>
        <v>0</v>
      </c>
      <c r="H102" s="23">
        <f>IF(A102="","",ROUND(C102-F102-G102,2))</f>
        <v>265055.7</v>
      </c>
      <c r="I102" s="20">
        <f>IF(A102="","",ROUNDUP(A102/12,0))</f>
        <v>9</v>
      </c>
    </row>
    <row r="103" spans="1:9" x14ac:dyDescent="0.25">
      <c r="A103" s="20">
        <f>IF(H102="","",IF(H102&gt;0.005,A102+1,""))</f>
        <v>99</v>
      </c>
      <c r="B103" s="21">
        <f>IF(A103="","",EDATE('Calculator'!$B$7,A103-1))</f>
        <v>49383</v>
      </c>
      <c r="C103" s="22">
        <f>IF(A103="","",H102)</f>
        <v>265055.7</v>
      </c>
      <c r="D103" s="22">
        <f>IF(A103="","",MIN('Calculator'!$B$10,C103+E103))</f>
        <v>1896.21</v>
      </c>
      <c r="E103" s="22">
        <f>IF(A103="","",ROUND(C103*'Calculator'!$B$5/12,2))</f>
        <v>1435.72</v>
      </c>
      <c r="F103" s="22">
        <f>IF(A103="","",D103-E103)</f>
        <v>460.49</v>
      </c>
      <c r="G103" s="22">
        <f>IF(A103="","",MAX(0,MIN(N('Calculator'!$B$8),C103-F103)))</f>
        <v>0</v>
      </c>
      <c r="H103" s="23">
        <f>IF(A103="","",ROUND(C103-F103-G103,2))</f>
        <v>264595.21</v>
      </c>
      <c r="I103" s="20">
        <f>IF(A103="","",ROUNDUP(A103/12,0))</f>
        <v>9</v>
      </c>
    </row>
    <row r="104" spans="1:9" x14ac:dyDescent="0.25">
      <c r="A104" s="20">
        <f>IF(H103="","",IF(H103&gt;0.005,A103+1,""))</f>
        <v>100</v>
      </c>
      <c r="B104" s="21">
        <f>IF(A104="","",EDATE('Calculator'!$B$7,A104-1))</f>
        <v>49414</v>
      </c>
      <c r="C104" s="22">
        <f>IF(A104="","",H103)</f>
        <v>264595.21</v>
      </c>
      <c r="D104" s="22">
        <f>IF(A104="","",MIN('Calculator'!$B$10,C104+E104))</f>
        <v>1896.21</v>
      </c>
      <c r="E104" s="22">
        <f>IF(A104="","",ROUND(C104*'Calculator'!$B$5/12,2))</f>
        <v>1433.22</v>
      </c>
      <c r="F104" s="22">
        <f>IF(A104="","",D104-E104)</f>
        <v>462.99</v>
      </c>
      <c r="G104" s="22">
        <f>IF(A104="","",MAX(0,MIN(N('Calculator'!$B$8),C104-F104)))</f>
        <v>0</v>
      </c>
      <c r="H104" s="23">
        <f>IF(A104="","",ROUND(C104-F104-G104,2))</f>
        <v>264132.22</v>
      </c>
      <c r="I104" s="20">
        <f>IF(A104="","",ROUNDUP(A104/12,0))</f>
        <v>9</v>
      </c>
    </row>
    <row r="105" spans="1:9" x14ac:dyDescent="0.25">
      <c r="A105" s="20">
        <f>IF(H104="","",IF(H104&gt;0.005,A104+1,""))</f>
        <v>101</v>
      </c>
      <c r="B105" s="21">
        <f>IF(A105="","",EDATE('Calculator'!$B$7,A105-1))</f>
        <v>49444</v>
      </c>
      <c r="C105" s="22">
        <f>IF(A105="","",H104)</f>
        <v>264132.22</v>
      </c>
      <c r="D105" s="22">
        <f>IF(A105="","",MIN('Calculator'!$B$10,C105+E105))</f>
        <v>1896.21</v>
      </c>
      <c r="E105" s="22">
        <f>IF(A105="","",ROUND(C105*'Calculator'!$B$5/12,2))</f>
        <v>1430.72</v>
      </c>
      <c r="F105" s="22">
        <f>IF(A105="","",D105-E105)</f>
        <v>465.49</v>
      </c>
      <c r="G105" s="22">
        <f>IF(A105="","",MAX(0,MIN(N('Calculator'!$B$8),C105-F105)))</f>
        <v>0</v>
      </c>
      <c r="H105" s="23">
        <f>IF(A105="","",ROUND(C105-F105-G105,2))</f>
        <v>263666.73</v>
      </c>
      <c r="I105" s="20">
        <f>IF(A105="","",ROUNDUP(A105/12,0))</f>
        <v>9</v>
      </c>
    </row>
    <row r="106" spans="1:9" x14ac:dyDescent="0.25">
      <c r="A106" s="20">
        <f>IF(H105="","",IF(H105&gt;0.005,A105+1,""))</f>
        <v>102</v>
      </c>
      <c r="B106" s="21">
        <f>IF(A106="","",EDATE('Calculator'!$B$7,A106-1))</f>
        <v>49475</v>
      </c>
      <c r="C106" s="22">
        <f>IF(A106="","",H105)</f>
        <v>263666.73</v>
      </c>
      <c r="D106" s="22">
        <f>IF(A106="","",MIN('Calculator'!$B$10,C106+E106))</f>
        <v>1896.21</v>
      </c>
      <c r="E106" s="22">
        <f>IF(A106="","",ROUND(C106*'Calculator'!$B$5/12,2))</f>
        <v>1428.19</v>
      </c>
      <c r="F106" s="22">
        <f>IF(A106="","",D106-E106)</f>
        <v>468.02</v>
      </c>
      <c r="G106" s="22">
        <f>IF(A106="","",MAX(0,MIN(N('Calculator'!$B$8),C106-F106)))</f>
        <v>0</v>
      </c>
      <c r="H106" s="23">
        <f>IF(A106="","",ROUND(C106-F106-G106,2))</f>
        <v>263198.71</v>
      </c>
      <c r="I106" s="20">
        <f>IF(A106="","",ROUNDUP(A106/12,0))</f>
        <v>9</v>
      </c>
    </row>
    <row r="107" spans="1:9" x14ac:dyDescent="0.25">
      <c r="A107" s="20">
        <f>IF(H106="","",IF(H106&gt;0.005,A106+1,""))</f>
        <v>103</v>
      </c>
      <c r="B107" s="21">
        <f>IF(A107="","",EDATE('Calculator'!$B$7,A107-1))</f>
        <v>49505</v>
      </c>
      <c r="C107" s="22">
        <f>IF(A107="","",H106)</f>
        <v>263198.71</v>
      </c>
      <c r="D107" s="22">
        <f>IF(A107="","",MIN('Calculator'!$B$10,C107+E107))</f>
        <v>1896.21</v>
      </c>
      <c r="E107" s="22">
        <f>IF(A107="","",ROUND(C107*'Calculator'!$B$5/12,2))</f>
        <v>1425.66</v>
      </c>
      <c r="F107" s="22">
        <f>IF(A107="","",D107-E107)</f>
        <v>470.55</v>
      </c>
      <c r="G107" s="22">
        <f>IF(A107="","",MAX(0,MIN(N('Calculator'!$B$8),C107-F107)))</f>
        <v>0</v>
      </c>
      <c r="H107" s="23">
        <f>IF(A107="","",ROUND(C107-F107-G107,2))</f>
        <v>262728.16</v>
      </c>
      <c r="I107" s="20">
        <f>IF(A107="","",ROUNDUP(A107/12,0))</f>
        <v>9</v>
      </c>
    </row>
    <row r="108" spans="1:9" x14ac:dyDescent="0.25">
      <c r="A108" s="20">
        <f>IF(H107="","",IF(H107&gt;0.005,A107+1,""))</f>
        <v>104</v>
      </c>
      <c r="B108" s="21">
        <f>IF(A108="","",EDATE('Calculator'!$B$7,A108-1))</f>
        <v>49536</v>
      </c>
      <c r="C108" s="22">
        <f>IF(A108="","",H107)</f>
        <v>262728.16</v>
      </c>
      <c r="D108" s="22">
        <f>IF(A108="","",MIN('Calculator'!$B$10,C108+E108))</f>
        <v>1896.21</v>
      </c>
      <c r="E108" s="22">
        <f>IF(A108="","",ROUND(C108*'Calculator'!$B$5/12,2))</f>
        <v>1423.11</v>
      </c>
      <c r="F108" s="22">
        <f>IF(A108="","",D108-E108)</f>
        <v>473.1</v>
      </c>
      <c r="G108" s="22">
        <f>IF(A108="","",MAX(0,MIN(N('Calculator'!$B$8),C108-F108)))</f>
        <v>0</v>
      </c>
      <c r="H108" s="23">
        <f>IF(A108="","",ROUND(C108-F108-G108,2))</f>
        <v>262255.06</v>
      </c>
      <c r="I108" s="20">
        <f>IF(A108="","",ROUNDUP(A108/12,0))</f>
        <v>9</v>
      </c>
    </row>
    <row r="109" spans="1:9" x14ac:dyDescent="0.25">
      <c r="A109" s="20">
        <f>IF(H108="","",IF(H108&gt;0.005,A108+1,""))</f>
        <v>105</v>
      </c>
      <c r="B109" s="21">
        <f>IF(A109="","",EDATE('Calculator'!$B$7,A109-1))</f>
        <v>49567</v>
      </c>
      <c r="C109" s="22">
        <f>IF(A109="","",H108)</f>
        <v>262255.06</v>
      </c>
      <c r="D109" s="22">
        <f>IF(A109="","",MIN('Calculator'!$B$10,C109+E109))</f>
        <v>1896.21</v>
      </c>
      <c r="E109" s="22">
        <f>IF(A109="","",ROUND(C109*'Calculator'!$B$5/12,2))</f>
        <v>1420.55</v>
      </c>
      <c r="F109" s="22">
        <f>IF(A109="","",D109-E109)</f>
        <v>475.66</v>
      </c>
      <c r="G109" s="22">
        <f>IF(A109="","",MAX(0,MIN(N('Calculator'!$B$8),C109-F109)))</f>
        <v>0</v>
      </c>
      <c r="H109" s="23">
        <f>IF(A109="","",ROUND(C109-F109-G109,2))</f>
        <v>261779.4</v>
      </c>
      <c r="I109" s="20">
        <f>IF(A109="","",ROUNDUP(A109/12,0))</f>
        <v>9</v>
      </c>
    </row>
    <row r="110" spans="1:9" x14ac:dyDescent="0.25">
      <c r="A110" s="20">
        <f>IF(H109="","",IF(H109&gt;0.005,A109+1,""))</f>
        <v>106</v>
      </c>
      <c r="B110" s="21">
        <f>IF(A110="","",EDATE('Calculator'!$B$7,A110-1))</f>
        <v>49597</v>
      </c>
      <c r="C110" s="22">
        <f>IF(A110="","",H109)</f>
        <v>261779.4</v>
      </c>
      <c r="D110" s="22">
        <f>IF(A110="","",MIN('Calculator'!$B$10,C110+E110))</f>
        <v>1896.21</v>
      </c>
      <c r="E110" s="22">
        <f>IF(A110="","",ROUND(C110*'Calculator'!$B$5/12,2))</f>
        <v>1417.97</v>
      </c>
      <c r="F110" s="22">
        <f>IF(A110="","",D110-E110)</f>
        <v>478.24</v>
      </c>
      <c r="G110" s="22">
        <f>IF(A110="","",MAX(0,MIN(N('Calculator'!$B$8),C110-F110)))</f>
        <v>0</v>
      </c>
      <c r="H110" s="23">
        <f>IF(A110="","",ROUND(C110-F110-G110,2))</f>
        <v>261301.16</v>
      </c>
      <c r="I110" s="20">
        <f>IF(A110="","",ROUNDUP(A110/12,0))</f>
        <v>9</v>
      </c>
    </row>
    <row r="111" spans="1:9" x14ac:dyDescent="0.25">
      <c r="A111" s="20">
        <f>IF(H110="","",IF(H110&gt;0.005,A110+1,""))</f>
        <v>107</v>
      </c>
      <c r="B111" s="21">
        <f>IF(A111="","",EDATE('Calculator'!$B$7,A111-1))</f>
        <v>49628</v>
      </c>
      <c r="C111" s="22">
        <f>IF(A111="","",H110)</f>
        <v>261301.16</v>
      </c>
      <c r="D111" s="22">
        <f>IF(A111="","",MIN('Calculator'!$B$10,C111+E111))</f>
        <v>1896.21</v>
      </c>
      <c r="E111" s="22">
        <f>IF(A111="","",ROUND(C111*'Calculator'!$B$5/12,2))</f>
        <v>1415.38</v>
      </c>
      <c r="F111" s="22">
        <f>IF(A111="","",D111-E111)</f>
        <v>480.83</v>
      </c>
      <c r="G111" s="22">
        <f>IF(A111="","",MAX(0,MIN(N('Calculator'!$B$8),C111-F111)))</f>
        <v>0</v>
      </c>
      <c r="H111" s="23">
        <f>IF(A111="","",ROUND(C111-F111-G111,2))</f>
        <v>260820.33</v>
      </c>
      <c r="I111" s="20">
        <f>IF(A111="","",ROUNDUP(A111/12,0))</f>
        <v>9</v>
      </c>
    </row>
    <row r="112" spans="1:9" x14ac:dyDescent="0.25">
      <c r="A112" s="20">
        <f>IF(H111="","",IF(H111&gt;0.005,A111+1,""))</f>
        <v>108</v>
      </c>
      <c r="B112" s="21">
        <f>IF(A112="","",EDATE('Calculator'!$B$7,A112-1))</f>
        <v>49658</v>
      </c>
      <c r="C112" s="22">
        <f>IF(A112="","",H111)</f>
        <v>260820.33</v>
      </c>
      <c r="D112" s="22">
        <f>IF(A112="","",MIN('Calculator'!$B$10,C112+E112))</f>
        <v>1896.21</v>
      </c>
      <c r="E112" s="22">
        <f>IF(A112="","",ROUND(C112*'Calculator'!$B$5/12,2))</f>
        <v>1412.78</v>
      </c>
      <c r="F112" s="22">
        <f>IF(A112="","",D112-E112)</f>
        <v>483.43</v>
      </c>
      <c r="G112" s="22">
        <f>IF(A112="","",MAX(0,MIN(N('Calculator'!$B$8),C112-F112)))</f>
        <v>0</v>
      </c>
      <c r="H112" s="23">
        <f>IF(A112="","",ROUND(C112-F112-G112,2))</f>
        <v>260336.9</v>
      </c>
      <c r="I112" s="20">
        <f>IF(A112="","",ROUNDUP(A112/12,0))</f>
        <v>9</v>
      </c>
    </row>
    <row r="113" spans="1:9" x14ac:dyDescent="0.25">
      <c r="A113" s="20">
        <f>IF(H112="","",IF(H112&gt;0.005,A112+1,""))</f>
        <v>109</v>
      </c>
      <c r="B113" s="21">
        <f>IF(A113="","",EDATE('Calculator'!$B$7,A113-1))</f>
        <v>49689</v>
      </c>
      <c r="C113" s="22">
        <f>IF(A113="","",H112)</f>
        <v>260336.9</v>
      </c>
      <c r="D113" s="22">
        <f>IF(A113="","",MIN('Calculator'!$B$10,C113+E113))</f>
        <v>1896.21</v>
      </c>
      <c r="E113" s="22">
        <f>IF(A113="","",ROUND(C113*'Calculator'!$B$5/12,2))</f>
        <v>1410.16</v>
      </c>
      <c r="F113" s="22">
        <f>IF(A113="","",D113-E113)</f>
        <v>486.05</v>
      </c>
      <c r="G113" s="22">
        <f>IF(A113="","",MAX(0,MIN(N('Calculator'!$B$8),C113-F113)))</f>
        <v>0</v>
      </c>
      <c r="H113" s="23">
        <f>IF(A113="","",ROUND(C113-F113-G113,2))</f>
        <v>259850.85</v>
      </c>
      <c r="I113" s="20">
        <f>IF(A113="","",ROUNDUP(A113/12,0))</f>
        <v>10</v>
      </c>
    </row>
    <row r="114" spans="1:9" x14ac:dyDescent="0.25">
      <c r="A114" s="20">
        <f>IF(H113="","",IF(H113&gt;0.005,A113+1,""))</f>
        <v>110</v>
      </c>
      <c r="B114" s="21">
        <f>IF(A114="","",EDATE('Calculator'!$B$7,A114-1))</f>
        <v>49720</v>
      </c>
      <c r="C114" s="22">
        <f>IF(A114="","",H113)</f>
        <v>259850.85</v>
      </c>
      <c r="D114" s="22">
        <f>IF(A114="","",MIN('Calculator'!$B$10,C114+E114))</f>
        <v>1896.21</v>
      </c>
      <c r="E114" s="22">
        <f>IF(A114="","",ROUND(C114*'Calculator'!$B$5/12,2))</f>
        <v>1407.53</v>
      </c>
      <c r="F114" s="22">
        <f>IF(A114="","",D114-E114)</f>
        <v>488.68</v>
      </c>
      <c r="G114" s="22">
        <f>IF(A114="","",MAX(0,MIN(N('Calculator'!$B$8),C114-F114)))</f>
        <v>0</v>
      </c>
      <c r="H114" s="23">
        <f>IF(A114="","",ROUND(C114-F114-G114,2))</f>
        <v>259362.17</v>
      </c>
      <c r="I114" s="20">
        <f>IF(A114="","",ROUNDUP(A114/12,0))</f>
        <v>10</v>
      </c>
    </row>
    <row r="115" spans="1:9" x14ac:dyDescent="0.25">
      <c r="A115" s="20">
        <f>IF(H114="","",IF(H114&gt;0.005,A114+1,""))</f>
        <v>111</v>
      </c>
      <c r="B115" s="21">
        <f>IF(A115="","",EDATE('Calculator'!$B$7,A115-1))</f>
        <v>49749</v>
      </c>
      <c r="C115" s="22">
        <f>IF(A115="","",H114)</f>
        <v>259362.17</v>
      </c>
      <c r="D115" s="22">
        <f>IF(A115="","",MIN('Calculator'!$B$10,C115+E115))</f>
        <v>1896.21</v>
      </c>
      <c r="E115" s="22">
        <f>IF(A115="","",ROUND(C115*'Calculator'!$B$5/12,2))</f>
        <v>1404.88</v>
      </c>
      <c r="F115" s="22">
        <f>IF(A115="","",D115-E115)</f>
        <v>491.33</v>
      </c>
      <c r="G115" s="22">
        <f>IF(A115="","",MAX(0,MIN(N('Calculator'!$B$8),C115-F115)))</f>
        <v>0</v>
      </c>
      <c r="H115" s="23">
        <f>IF(A115="","",ROUND(C115-F115-G115,2))</f>
        <v>258870.84</v>
      </c>
      <c r="I115" s="20">
        <f>IF(A115="","",ROUNDUP(A115/12,0))</f>
        <v>10</v>
      </c>
    </row>
    <row r="116" spans="1:9" x14ac:dyDescent="0.25">
      <c r="A116" s="20">
        <f>IF(H115="","",IF(H115&gt;0.005,A115+1,""))</f>
        <v>112</v>
      </c>
      <c r="B116" s="21">
        <f>IF(A116="","",EDATE('Calculator'!$B$7,A116-1))</f>
        <v>49780</v>
      </c>
      <c r="C116" s="22">
        <f>IF(A116="","",H115)</f>
        <v>258870.84</v>
      </c>
      <c r="D116" s="22">
        <f>IF(A116="","",MIN('Calculator'!$B$10,C116+E116))</f>
        <v>1896.21</v>
      </c>
      <c r="E116" s="22">
        <f>IF(A116="","",ROUND(C116*'Calculator'!$B$5/12,2))</f>
        <v>1402.22</v>
      </c>
      <c r="F116" s="22">
        <f>IF(A116="","",D116-E116)</f>
        <v>493.99</v>
      </c>
      <c r="G116" s="22">
        <f>IF(A116="","",MAX(0,MIN(N('Calculator'!$B$8),C116-F116)))</f>
        <v>0</v>
      </c>
      <c r="H116" s="23">
        <f>IF(A116="","",ROUND(C116-F116-G116,2))</f>
        <v>258376.85</v>
      </c>
      <c r="I116" s="20">
        <f>IF(A116="","",ROUNDUP(A116/12,0))</f>
        <v>10</v>
      </c>
    </row>
    <row r="117" spans="1:9" x14ac:dyDescent="0.25">
      <c r="A117" s="20">
        <f>IF(H116="","",IF(H116&gt;0.005,A116+1,""))</f>
        <v>113</v>
      </c>
      <c r="B117" s="21">
        <f>IF(A117="","",EDATE('Calculator'!$B$7,A117-1))</f>
        <v>49810</v>
      </c>
      <c r="C117" s="22">
        <f>IF(A117="","",H116)</f>
        <v>258376.85</v>
      </c>
      <c r="D117" s="22">
        <f>IF(A117="","",MIN('Calculator'!$B$10,C117+E117))</f>
        <v>1896.21</v>
      </c>
      <c r="E117" s="22">
        <f>IF(A117="","",ROUND(C117*'Calculator'!$B$5/12,2))</f>
        <v>1399.54</v>
      </c>
      <c r="F117" s="22">
        <f>IF(A117="","",D117-E117)</f>
        <v>496.67</v>
      </c>
      <c r="G117" s="22">
        <f>IF(A117="","",MAX(0,MIN(N('Calculator'!$B$8),C117-F117)))</f>
        <v>0</v>
      </c>
      <c r="H117" s="23">
        <f>IF(A117="","",ROUND(C117-F117-G117,2))</f>
        <v>257880.18</v>
      </c>
      <c r="I117" s="20">
        <f>IF(A117="","",ROUNDUP(A117/12,0))</f>
        <v>10</v>
      </c>
    </row>
    <row r="118" spans="1:9" x14ac:dyDescent="0.25">
      <c r="A118" s="20">
        <f>IF(H117="","",IF(H117&gt;0.005,A117+1,""))</f>
        <v>114</v>
      </c>
      <c r="B118" s="21">
        <f>IF(A118="","",EDATE('Calculator'!$B$7,A118-1))</f>
        <v>49841</v>
      </c>
      <c r="C118" s="22">
        <f>IF(A118="","",H117)</f>
        <v>257880.18</v>
      </c>
      <c r="D118" s="22">
        <f>IF(A118="","",MIN('Calculator'!$B$10,C118+E118))</f>
        <v>1896.21</v>
      </c>
      <c r="E118" s="22">
        <f>IF(A118="","",ROUND(C118*'Calculator'!$B$5/12,2))</f>
        <v>1396.85</v>
      </c>
      <c r="F118" s="22">
        <f>IF(A118="","",D118-E118)</f>
        <v>499.36</v>
      </c>
      <c r="G118" s="22">
        <f>IF(A118="","",MAX(0,MIN(N('Calculator'!$B$8),C118-F118)))</f>
        <v>0</v>
      </c>
      <c r="H118" s="23">
        <f>IF(A118="","",ROUND(C118-F118-G118,2))</f>
        <v>257380.82</v>
      </c>
      <c r="I118" s="20">
        <f>IF(A118="","",ROUNDUP(A118/12,0))</f>
        <v>10</v>
      </c>
    </row>
    <row r="119" spans="1:9" x14ac:dyDescent="0.25">
      <c r="A119" s="20">
        <f>IF(H118="","",IF(H118&gt;0.005,A118+1,""))</f>
        <v>115</v>
      </c>
      <c r="B119" s="21">
        <f>IF(A119="","",EDATE('Calculator'!$B$7,A119-1))</f>
        <v>49871</v>
      </c>
      <c r="C119" s="22">
        <f>IF(A119="","",H118)</f>
        <v>257380.82</v>
      </c>
      <c r="D119" s="22">
        <f>IF(A119="","",MIN('Calculator'!$B$10,C119+E119))</f>
        <v>1896.21</v>
      </c>
      <c r="E119" s="22">
        <f>IF(A119="","",ROUND(C119*'Calculator'!$B$5/12,2))</f>
        <v>1394.15</v>
      </c>
      <c r="F119" s="22">
        <f>IF(A119="","",D119-E119)</f>
        <v>502.06</v>
      </c>
      <c r="G119" s="22">
        <f>IF(A119="","",MAX(0,MIN(N('Calculator'!$B$8),C119-F119)))</f>
        <v>0</v>
      </c>
      <c r="H119" s="23">
        <f>IF(A119="","",ROUND(C119-F119-G119,2))</f>
        <v>256878.76</v>
      </c>
      <c r="I119" s="20">
        <f>IF(A119="","",ROUNDUP(A119/12,0))</f>
        <v>10</v>
      </c>
    </row>
    <row r="120" spans="1:9" x14ac:dyDescent="0.25">
      <c r="A120" s="20">
        <f>IF(H119="","",IF(H119&gt;0.005,A119+1,""))</f>
        <v>116</v>
      </c>
      <c r="B120" s="21">
        <f>IF(A120="","",EDATE('Calculator'!$B$7,A120-1))</f>
        <v>49902</v>
      </c>
      <c r="C120" s="22">
        <f>IF(A120="","",H119)</f>
        <v>256878.76</v>
      </c>
      <c r="D120" s="22">
        <f>IF(A120="","",MIN('Calculator'!$B$10,C120+E120))</f>
        <v>1896.21</v>
      </c>
      <c r="E120" s="22">
        <f>IF(A120="","",ROUND(C120*'Calculator'!$B$5/12,2))</f>
        <v>1391.43</v>
      </c>
      <c r="F120" s="22">
        <f>IF(A120="","",D120-E120)</f>
        <v>504.78</v>
      </c>
      <c r="G120" s="22">
        <f>IF(A120="","",MAX(0,MIN(N('Calculator'!$B$8),C120-F120)))</f>
        <v>0</v>
      </c>
      <c r="H120" s="23">
        <f>IF(A120="","",ROUND(C120-F120-G120,2))</f>
        <v>256373.98</v>
      </c>
      <c r="I120" s="20">
        <f>IF(A120="","",ROUNDUP(A120/12,0))</f>
        <v>10</v>
      </c>
    </row>
    <row r="121" spans="1:9" x14ac:dyDescent="0.25">
      <c r="A121" s="20">
        <f>IF(H120="","",IF(H120&gt;0.005,A120+1,""))</f>
        <v>117</v>
      </c>
      <c r="B121" s="21">
        <f>IF(A121="","",EDATE('Calculator'!$B$7,A121-1))</f>
        <v>49933</v>
      </c>
      <c r="C121" s="22">
        <f>IF(A121="","",H120)</f>
        <v>256373.98</v>
      </c>
      <c r="D121" s="22">
        <f>IF(A121="","",MIN('Calculator'!$B$10,C121+E121))</f>
        <v>1896.21</v>
      </c>
      <c r="E121" s="22">
        <f>IF(A121="","",ROUND(C121*'Calculator'!$B$5/12,2))</f>
        <v>1388.69</v>
      </c>
      <c r="F121" s="22">
        <f>IF(A121="","",D121-E121)</f>
        <v>507.52</v>
      </c>
      <c r="G121" s="22">
        <f>IF(A121="","",MAX(0,MIN(N('Calculator'!$B$8),C121-F121)))</f>
        <v>0</v>
      </c>
      <c r="H121" s="23">
        <f>IF(A121="","",ROUND(C121-F121-G121,2))</f>
        <v>255866.46</v>
      </c>
      <c r="I121" s="20">
        <f>IF(A121="","",ROUNDUP(A121/12,0))</f>
        <v>10</v>
      </c>
    </row>
    <row r="122" spans="1:9" x14ac:dyDescent="0.25">
      <c r="A122" s="20">
        <f>IF(H121="","",IF(H121&gt;0.005,A121+1,""))</f>
        <v>118</v>
      </c>
      <c r="B122" s="21">
        <f>IF(A122="","",EDATE('Calculator'!$B$7,A122-1))</f>
        <v>49963</v>
      </c>
      <c r="C122" s="22">
        <f>IF(A122="","",H121)</f>
        <v>255866.46</v>
      </c>
      <c r="D122" s="22">
        <f>IF(A122="","",MIN('Calculator'!$B$10,C122+E122))</f>
        <v>1896.21</v>
      </c>
      <c r="E122" s="22">
        <f>IF(A122="","",ROUND(C122*'Calculator'!$B$5/12,2))</f>
        <v>1385.94</v>
      </c>
      <c r="F122" s="22">
        <f>IF(A122="","",D122-E122)</f>
        <v>510.27</v>
      </c>
      <c r="G122" s="22">
        <f>IF(A122="","",MAX(0,MIN(N('Calculator'!$B$8),C122-F122)))</f>
        <v>0</v>
      </c>
      <c r="H122" s="23">
        <f>IF(A122="","",ROUND(C122-F122-G122,2))</f>
        <v>255356.19</v>
      </c>
      <c r="I122" s="20">
        <f>IF(A122="","",ROUNDUP(A122/12,0))</f>
        <v>10</v>
      </c>
    </row>
    <row r="123" spans="1:9" x14ac:dyDescent="0.25">
      <c r="A123" s="20">
        <f>IF(H122="","",IF(H122&gt;0.005,A122+1,""))</f>
        <v>119</v>
      </c>
      <c r="B123" s="21">
        <f>IF(A123="","",EDATE('Calculator'!$B$7,A123-1))</f>
        <v>49994</v>
      </c>
      <c r="C123" s="22">
        <f>IF(A123="","",H122)</f>
        <v>255356.19</v>
      </c>
      <c r="D123" s="22">
        <f>IF(A123="","",MIN('Calculator'!$B$10,C123+E123))</f>
        <v>1896.21</v>
      </c>
      <c r="E123" s="22">
        <f>IF(A123="","",ROUND(C123*'Calculator'!$B$5/12,2))</f>
        <v>1383.18</v>
      </c>
      <c r="F123" s="22">
        <f>IF(A123="","",D123-E123)</f>
        <v>513.03</v>
      </c>
      <c r="G123" s="22">
        <f>IF(A123="","",MAX(0,MIN(N('Calculator'!$B$8),C123-F123)))</f>
        <v>0</v>
      </c>
      <c r="H123" s="23">
        <f>IF(A123="","",ROUND(C123-F123-G123,2))</f>
        <v>254843.16</v>
      </c>
      <c r="I123" s="20">
        <f>IF(A123="","",ROUNDUP(A123/12,0))</f>
        <v>10</v>
      </c>
    </row>
    <row r="124" spans="1:9" x14ac:dyDescent="0.25">
      <c r="A124" s="20">
        <f>IF(H123="","",IF(H123&gt;0.005,A123+1,""))</f>
        <v>120</v>
      </c>
      <c r="B124" s="21">
        <f>IF(A124="","",EDATE('Calculator'!$B$7,A124-1))</f>
        <v>50024</v>
      </c>
      <c r="C124" s="22">
        <f>IF(A124="","",H123)</f>
        <v>254843.16</v>
      </c>
      <c r="D124" s="22">
        <f>IF(A124="","",MIN('Calculator'!$B$10,C124+E124))</f>
        <v>1896.21</v>
      </c>
      <c r="E124" s="22">
        <f>IF(A124="","",ROUND(C124*'Calculator'!$B$5/12,2))</f>
        <v>1380.4</v>
      </c>
      <c r="F124" s="22">
        <f>IF(A124="","",D124-E124)</f>
        <v>515.81</v>
      </c>
      <c r="G124" s="22">
        <f>IF(A124="","",MAX(0,MIN(N('Calculator'!$B$8),C124-F124)))</f>
        <v>0</v>
      </c>
      <c r="H124" s="23">
        <f>IF(A124="","",ROUND(C124-F124-G124,2))</f>
        <v>254327.35</v>
      </c>
      <c r="I124" s="20">
        <f>IF(A124="","",ROUNDUP(A124/12,0))</f>
        <v>10</v>
      </c>
    </row>
    <row r="125" spans="1:9" x14ac:dyDescent="0.25">
      <c r="A125" s="20">
        <f>IF(H124="","",IF(H124&gt;0.005,A124+1,""))</f>
        <v>121</v>
      </c>
      <c r="B125" s="21">
        <f>IF(A125="","",EDATE('Calculator'!$B$7,A125-1))</f>
        <v>50055</v>
      </c>
      <c r="C125" s="22">
        <f>IF(A125="","",H124)</f>
        <v>254327.35</v>
      </c>
      <c r="D125" s="22">
        <f>IF(A125="","",MIN('Calculator'!$B$10,C125+E125))</f>
        <v>1896.21</v>
      </c>
      <c r="E125" s="22">
        <f>IF(A125="","",ROUND(C125*'Calculator'!$B$5/12,2))</f>
        <v>1377.61</v>
      </c>
      <c r="F125" s="22">
        <f>IF(A125="","",D125-E125)</f>
        <v>518.6</v>
      </c>
      <c r="G125" s="22">
        <f>IF(A125="","",MAX(0,MIN(N('Calculator'!$B$8),C125-F125)))</f>
        <v>0</v>
      </c>
      <c r="H125" s="23">
        <f>IF(A125="","",ROUND(C125-F125-G125,2))</f>
        <v>253808.75</v>
      </c>
      <c r="I125" s="20">
        <f>IF(A125="","",ROUNDUP(A125/12,0))</f>
        <v>11</v>
      </c>
    </row>
    <row r="126" spans="1:9" x14ac:dyDescent="0.25">
      <c r="A126" s="20">
        <f>IF(H125="","",IF(H125&gt;0.005,A125+1,""))</f>
        <v>122</v>
      </c>
      <c r="B126" s="21">
        <f>IF(A126="","",EDATE('Calculator'!$B$7,A126-1))</f>
        <v>50086</v>
      </c>
      <c r="C126" s="22">
        <f>IF(A126="","",H125)</f>
        <v>253808.75</v>
      </c>
      <c r="D126" s="22">
        <f>IF(A126="","",MIN('Calculator'!$B$10,C126+E126))</f>
        <v>1896.21</v>
      </c>
      <c r="E126" s="22">
        <f>IF(A126="","",ROUND(C126*'Calculator'!$B$5/12,2))</f>
        <v>1374.8</v>
      </c>
      <c r="F126" s="22">
        <f>IF(A126="","",D126-E126)</f>
        <v>521.41</v>
      </c>
      <c r="G126" s="22">
        <f>IF(A126="","",MAX(0,MIN(N('Calculator'!$B$8),C126-F126)))</f>
        <v>0</v>
      </c>
      <c r="H126" s="23">
        <f>IF(A126="","",ROUND(C126-F126-G126,2))</f>
        <v>253287.34</v>
      </c>
      <c r="I126" s="20">
        <f>IF(A126="","",ROUNDUP(A126/12,0))</f>
        <v>11</v>
      </c>
    </row>
    <row r="127" spans="1:9" x14ac:dyDescent="0.25">
      <c r="A127" s="20">
        <f>IF(H126="","",IF(H126&gt;0.005,A126+1,""))</f>
        <v>123</v>
      </c>
      <c r="B127" s="21">
        <f>IF(A127="","",EDATE('Calculator'!$B$7,A127-1))</f>
        <v>50114</v>
      </c>
      <c r="C127" s="22">
        <f>IF(A127="","",H126)</f>
        <v>253287.34</v>
      </c>
      <c r="D127" s="22">
        <f>IF(A127="","",MIN('Calculator'!$B$10,C127+E127))</f>
        <v>1896.21</v>
      </c>
      <c r="E127" s="22">
        <f>IF(A127="","",ROUND(C127*'Calculator'!$B$5/12,2))</f>
        <v>1371.97</v>
      </c>
      <c r="F127" s="22">
        <f>IF(A127="","",D127-E127)</f>
        <v>524.24</v>
      </c>
      <c r="G127" s="22">
        <f>IF(A127="","",MAX(0,MIN(N('Calculator'!$B$8),C127-F127)))</f>
        <v>0</v>
      </c>
      <c r="H127" s="23">
        <f>IF(A127="","",ROUND(C127-F127-G127,2))</f>
        <v>252763.1</v>
      </c>
      <c r="I127" s="20">
        <f>IF(A127="","",ROUNDUP(A127/12,0))</f>
        <v>11</v>
      </c>
    </row>
    <row r="128" spans="1:9" x14ac:dyDescent="0.25">
      <c r="A128" s="20">
        <f>IF(H127="","",IF(H127&gt;0.005,A127+1,""))</f>
        <v>124</v>
      </c>
      <c r="B128" s="21">
        <f>IF(A128="","",EDATE('Calculator'!$B$7,A128-1))</f>
        <v>50145</v>
      </c>
      <c r="C128" s="22">
        <f>IF(A128="","",H127)</f>
        <v>252763.1</v>
      </c>
      <c r="D128" s="22">
        <f>IF(A128="","",MIN('Calculator'!$B$10,C128+E128))</f>
        <v>1896.21</v>
      </c>
      <c r="E128" s="22">
        <f>IF(A128="","",ROUND(C128*'Calculator'!$B$5/12,2))</f>
        <v>1369.13</v>
      </c>
      <c r="F128" s="22">
        <f>IF(A128="","",D128-E128)</f>
        <v>527.08</v>
      </c>
      <c r="G128" s="22">
        <f>IF(A128="","",MAX(0,MIN(N('Calculator'!$B$8),C128-F128)))</f>
        <v>0</v>
      </c>
      <c r="H128" s="23">
        <f>IF(A128="","",ROUND(C128-F128-G128,2))</f>
        <v>252236.02</v>
      </c>
      <c r="I128" s="20">
        <f>IF(A128="","",ROUNDUP(A128/12,0))</f>
        <v>11</v>
      </c>
    </row>
    <row r="129" spans="1:9" x14ac:dyDescent="0.25">
      <c r="A129" s="20">
        <f>IF(H128="","",IF(H128&gt;0.005,A128+1,""))</f>
        <v>125</v>
      </c>
      <c r="B129" s="21">
        <f>IF(A129="","",EDATE('Calculator'!$B$7,A129-1))</f>
        <v>50175</v>
      </c>
      <c r="C129" s="22">
        <f>IF(A129="","",H128)</f>
        <v>252236.02</v>
      </c>
      <c r="D129" s="22">
        <f>IF(A129="","",MIN('Calculator'!$B$10,C129+E129))</f>
        <v>1896.21</v>
      </c>
      <c r="E129" s="22">
        <f>IF(A129="","",ROUND(C129*'Calculator'!$B$5/12,2))</f>
        <v>1366.28</v>
      </c>
      <c r="F129" s="22">
        <f>IF(A129="","",D129-E129)</f>
        <v>529.93</v>
      </c>
      <c r="G129" s="22">
        <f>IF(A129="","",MAX(0,MIN(N('Calculator'!$B$8),C129-F129)))</f>
        <v>0</v>
      </c>
      <c r="H129" s="23">
        <f>IF(A129="","",ROUND(C129-F129-G129,2))</f>
        <v>251706.09</v>
      </c>
      <c r="I129" s="20">
        <f>IF(A129="","",ROUNDUP(A129/12,0))</f>
        <v>11</v>
      </c>
    </row>
    <row r="130" spans="1:9" x14ac:dyDescent="0.25">
      <c r="A130" s="20">
        <f>IF(H129="","",IF(H129&gt;0.005,A129+1,""))</f>
        <v>126</v>
      </c>
      <c r="B130" s="21">
        <f>IF(A130="","",EDATE('Calculator'!$B$7,A130-1))</f>
        <v>50206</v>
      </c>
      <c r="C130" s="22">
        <f>IF(A130="","",H129)</f>
        <v>251706.09</v>
      </c>
      <c r="D130" s="22">
        <f>IF(A130="","",MIN('Calculator'!$B$10,C130+E130))</f>
        <v>1896.21</v>
      </c>
      <c r="E130" s="22">
        <f>IF(A130="","",ROUND(C130*'Calculator'!$B$5/12,2))</f>
        <v>1363.41</v>
      </c>
      <c r="F130" s="22">
        <f>IF(A130="","",D130-E130)</f>
        <v>532.8</v>
      </c>
      <c r="G130" s="22">
        <f>IF(A130="","",MAX(0,MIN(N('Calculator'!$B$8),C130-F130)))</f>
        <v>0</v>
      </c>
      <c r="H130" s="23">
        <f>IF(A130="","",ROUND(C130-F130-G130,2))</f>
        <v>251173.29</v>
      </c>
      <c r="I130" s="20">
        <f>IF(A130="","",ROUNDUP(A130/12,0))</f>
        <v>11</v>
      </c>
    </row>
    <row r="131" spans="1:9" x14ac:dyDescent="0.25">
      <c r="A131" s="20">
        <f>IF(H130="","",IF(H130&gt;0.005,A130+1,""))</f>
        <v>127</v>
      </c>
      <c r="B131" s="21">
        <f>IF(A131="","",EDATE('Calculator'!$B$7,A131-1))</f>
        <v>50236</v>
      </c>
      <c r="C131" s="22">
        <f>IF(A131="","",H130)</f>
        <v>251173.29</v>
      </c>
      <c r="D131" s="22">
        <f>IF(A131="","",MIN('Calculator'!$B$10,C131+E131))</f>
        <v>1896.21</v>
      </c>
      <c r="E131" s="22">
        <f>IF(A131="","",ROUND(C131*'Calculator'!$B$5/12,2))</f>
        <v>1360.52</v>
      </c>
      <c r="F131" s="22">
        <f>IF(A131="","",D131-E131)</f>
        <v>535.69</v>
      </c>
      <c r="G131" s="22">
        <f>IF(A131="","",MAX(0,MIN(N('Calculator'!$B$8),C131-F131)))</f>
        <v>0</v>
      </c>
      <c r="H131" s="23">
        <f>IF(A131="","",ROUND(C131-F131-G131,2))</f>
        <v>250637.6</v>
      </c>
      <c r="I131" s="20">
        <f>IF(A131="","",ROUNDUP(A131/12,0))</f>
        <v>11</v>
      </c>
    </row>
    <row r="132" spans="1:9" x14ac:dyDescent="0.25">
      <c r="A132" s="20">
        <f>IF(H131="","",IF(H131&gt;0.005,A131+1,""))</f>
        <v>128</v>
      </c>
      <c r="B132" s="21">
        <f>IF(A132="","",EDATE('Calculator'!$B$7,A132-1))</f>
        <v>50267</v>
      </c>
      <c r="C132" s="22">
        <f>IF(A132="","",H131)</f>
        <v>250637.6</v>
      </c>
      <c r="D132" s="22">
        <f>IF(A132="","",MIN('Calculator'!$B$10,C132+E132))</f>
        <v>1896.21</v>
      </c>
      <c r="E132" s="22">
        <f>IF(A132="","",ROUND(C132*'Calculator'!$B$5/12,2))</f>
        <v>1357.62</v>
      </c>
      <c r="F132" s="22">
        <f>IF(A132="","",D132-E132)</f>
        <v>538.59</v>
      </c>
      <c r="G132" s="22">
        <f>IF(A132="","",MAX(0,MIN(N('Calculator'!$B$8),C132-F132)))</f>
        <v>0</v>
      </c>
      <c r="H132" s="23">
        <f>IF(A132="","",ROUND(C132-F132-G132,2))</f>
        <v>250099.01</v>
      </c>
      <c r="I132" s="20">
        <f>IF(A132="","",ROUNDUP(A132/12,0))</f>
        <v>11</v>
      </c>
    </row>
    <row r="133" spans="1:9" x14ac:dyDescent="0.25">
      <c r="A133" s="20">
        <f>IF(H132="","",IF(H132&gt;0.005,A132+1,""))</f>
        <v>129</v>
      </c>
      <c r="B133" s="21">
        <f>IF(A133="","",EDATE('Calculator'!$B$7,A133-1))</f>
        <v>50298</v>
      </c>
      <c r="C133" s="22">
        <f>IF(A133="","",H132)</f>
        <v>250099.01</v>
      </c>
      <c r="D133" s="22">
        <f>IF(A133="","",MIN('Calculator'!$B$10,C133+E133))</f>
        <v>1896.21</v>
      </c>
      <c r="E133" s="22">
        <f>IF(A133="","",ROUND(C133*'Calculator'!$B$5/12,2))</f>
        <v>1354.7</v>
      </c>
      <c r="F133" s="22">
        <f>IF(A133="","",D133-E133)</f>
        <v>541.51</v>
      </c>
      <c r="G133" s="22">
        <f>IF(A133="","",MAX(0,MIN(N('Calculator'!$B$8),C133-F133)))</f>
        <v>0</v>
      </c>
      <c r="H133" s="23">
        <f>IF(A133="","",ROUND(C133-F133-G133,2))</f>
        <v>249557.5</v>
      </c>
      <c r="I133" s="20">
        <f>IF(A133="","",ROUNDUP(A133/12,0))</f>
        <v>11</v>
      </c>
    </row>
    <row r="134" spans="1:9" x14ac:dyDescent="0.25">
      <c r="A134" s="20">
        <f>IF(H133="","",IF(H133&gt;0.005,A133+1,""))</f>
        <v>130</v>
      </c>
      <c r="B134" s="21">
        <f>IF(A134="","",EDATE('Calculator'!$B$7,A134-1))</f>
        <v>50328</v>
      </c>
      <c r="C134" s="22">
        <f>IF(A134="","",H133)</f>
        <v>249557.5</v>
      </c>
      <c r="D134" s="22">
        <f>IF(A134="","",MIN('Calculator'!$B$10,C134+E134))</f>
        <v>1896.21</v>
      </c>
      <c r="E134" s="22">
        <f>IF(A134="","",ROUND(C134*'Calculator'!$B$5/12,2))</f>
        <v>1351.77</v>
      </c>
      <c r="F134" s="22">
        <f>IF(A134="","",D134-E134)</f>
        <v>544.44</v>
      </c>
      <c r="G134" s="22">
        <f>IF(A134="","",MAX(0,MIN(N('Calculator'!$B$8),C134-F134)))</f>
        <v>0</v>
      </c>
      <c r="H134" s="23">
        <f>IF(A134="","",ROUND(C134-F134-G134,2))</f>
        <v>249013.06</v>
      </c>
      <c r="I134" s="20">
        <f>IF(A134="","",ROUNDUP(A134/12,0))</f>
        <v>11</v>
      </c>
    </row>
    <row r="135" spans="1:9" x14ac:dyDescent="0.25">
      <c r="A135" s="20">
        <f>IF(H134="","",IF(H134&gt;0.005,A134+1,""))</f>
        <v>131</v>
      </c>
      <c r="B135" s="21">
        <f>IF(A135="","",EDATE('Calculator'!$B$7,A135-1))</f>
        <v>50359</v>
      </c>
      <c r="C135" s="22">
        <f>IF(A135="","",H134)</f>
        <v>249013.06</v>
      </c>
      <c r="D135" s="22">
        <f>IF(A135="","",MIN('Calculator'!$B$10,C135+E135))</f>
        <v>1896.21</v>
      </c>
      <c r="E135" s="22">
        <f>IF(A135="","",ROUND(C135*'Calculator'!$B$5/12,2))</f>
        <v>1348.82</v>
      </c>
      <c r="F135" s="22">
        <f>IF(A135="","",D135-E135)</f>
        <v>547.39</v>
      </c>
      <c r="G135" s="22">
        <f>IF(A135="","",MAX(0,MIN(N('Calculator'!$B$8),C135-F135)))</f>
        <v>0</v>
      </c>
      <c r="H135" s="23">
        <f>IF(A135="","",ROUND(C135-F135-G135,2))</f>
        <v>248465.67</v>
      </c>
      <c r="I135" s="20">
        <f>IF(A135="","",ROUNDUP(A135/12,0))</f>
        <v>11</v>
      </c>
    </row>
    <row r="136" spans="1:9" x14ac:dyDescent="0.25">
      <c r="A136" s="20">
        <f>IF(H135="","",IF(H135&gt;0.005,A135+1,""))</f>
        <v>132</v>
      </c>
      <c r="B136" s="21">
        <f>IF(A136="","",EDATE('Calculator'!$B$7,A136-1))</f>
        <v>50389</v>
      </c>
      <c r="C136" s="22">
        <f>IF(A136="","",H135)</f>
        <v>248465.67</v>
      </c>
      <c r="D136" s="22">
        <f>IF(A136="","",MIN('Calculator'!$B$10,C136+E136))</f>
        <v>1896.21</v>
      </c>
      <c r="E136" s="22">
        <f>IF(A136="","",ROUND(C136*'Calculator'!$B$5/12,2))</f>
        <v>1345.86</v>
      </c>
      <c r="F136" s="22">
        <f>IF(A136="","",D136-E136)</f>
        <v>550.35</v>
      </c>
      <c r="G136" s="22">
        <f>IF(A136="","",MAX(0,MIN(N('Calculator'!$B$8),C136-F136)))</f>
        <v>0</v>
      </c>
      <c r="H136" s="23">
        <f>IF(A136="","",ROUND(C136-F136-G136,2))</f>
        <v>247915.32</v>
      </c>
      <c r="I136" s="20">
        <f>IF(A136="","",ROUNDUP(A136/12,0))</f>
        <v>11</v>
      </c>
    </row>
    <row r="137" spans="1:9" x14ac:dyDescent="0.25">
      <c r="A137" s="20">
        <f>IF(H136="","",IF(H136&gt;0.005,A136+1,""))</f>
        <v>133</v>
      </c>
      <c r="B137" s="21">
        <f>IF(A137="","",EDATE('Calculator'!$B$7,A137-1))</f>
        <v>50420</v>
      </c>
      <c r="C137" s="22">
        <f>IF(A137="","",H136)</f>
        <v>247915.32</v>
      </c>
      <c r="D137" s="22">
        <f>IF(A137="","",MIN('Calculator'!$B$10,C137+E137))</f>
        <v>1896.21</v>
      </c>
      <c r="E137" s="22">
        <f>IF(A137="","",ROUND(C137*'Calculator'!$B$5/12,2))</f>
        <v>1342.87</v>
      </c>
      <c r="F137" s="22">
        <f>IF(A137="","",D137-E137)</f>
        <v>553.34</v>
      </c>
      <c r="G137" s="22">
        <f>IF(A137="","",MAX(0,MIN(N('Calculator'!$B$8),C137-F137)))</f>
        <v>0</v>
      </c>
      <c r="H137" s="23">
        <f>IF(A137="","",ROUND(C137-F137-G137,2))</f>
        <v>247361.98</v>
      </c>
      <c r="I137" s="20">
        <f>IF(A137="","",ROUNDUP(A137/12,0))</f>
        <v>12</v>
      </c>
    </row>
    <row r="138" spans="1:9" x14ac:dyDescent="0.25">
      <c r="A138" s="20">
        <f>IF(H137="","",IF(H137&gt;0.005,A137+1,""))</f>
        <v>134</v>
      </c>
      <c r="B138" s="21">
        <f>IF(A138="","",EDATE('Calculator'!$B$7,A138-1))</f>
        <v>50451</v>
      </c>
      <c r="C138" s="22">
        <f>IF(A138="","",H137)</f>
        <v>247361.98</v>
      </c>
      <c r="D138" s="22">
        <f>IF(A138="","",MIN('Calculator'!$B$10,C138+E138))</f>
        <v>1896.21</v>
      </c>
      <c r="E138" s="22">
        <f>IF(A138="","",ROUND(C138*'Calculator'!$B$5/12,2))</f>
        <v>1339.88</v>
      </c>
      <c r="F138" s="22">
        <f>IF(A138="","",D138-E138)</f>
        <v>556.33</v>
      </c>
      <c r="G138" s="22">
        <f>IF(A138="","",MAX(0,MIN(N('Calculator'!$B$8),C138-F138)))</f>
        <v>0</v>
      </c>
      <c r="H138" s="23">
        <f>IF(A138="","",ROUND(C138-F138-G138,2))</f>
        <v>246805.65</v>
      </c>
      <c r="I138" s="20">
        <f>IF(A138="","",ROUNDUP(A138/12,0))</f>
        <v>12</v>
      </c>
    </row>
    <row r="139" spans="1:9" x14ac:dyDescent="0.25">
      <c r="A139" s="20">
        <f>IF(H138="","",IF(H138&gt;0.005,A138+1,""))</f>
        <v>135</v>
      </c>
      <c r="B139" s="21">
        <f>IF(A139="","",EDATE('Calculator'!$B$7,A139-1))</f>
        <v>50479</v>
      </c>
      <c r="C139" s="22">
        <f>IF(A139="","",H138)</f>
        <v>246805.65</v>
      </c>
      <c r="D139" s="22">
        <f>IF(A139="","",MIN('Calculator'!$B$10,C139+E139))</f>
        <v>1896.21</v>
      </c>
      <c r="E139" s="22">
        <f>IF(A139="","",ROUND(C139*'Calculator'!$B$5/12,2))</f>
        <v>1336.86</v>
      </c>
      <c r="F139" s="22">
        <f>IF(A139="","",D139-E139)</f>
        <v>559.35</v>
      </c>
      <c r="G139" s="22">
        <f>IF(A139="","",MAX(0,MIN(N('Calculator'!$B$8),C139-F139)))</f>
        <v>0</v>
      </c>
      <c r="H139" s="23">
        <f>IF(A139="","",ROUND(C139-F139-G139,2))</f>
        <v>246246.3</v>
      </c>
      <c r="I139" s="20">
        <f>IF(A139="","",ROUNDUP(A139/12,0))</f>
        <v>12</v>
      </c>
    </row>
    <row r="140" spans="1:9" x14ac:dyDescent="0.25">
      <c r="A140" s="20">
        <f>IF(H139="","",IF(H139&gt;0.005,A139+1,""))</f>
        <v>136</v>
      </c>
      <c r="B140" s="21">
        <f>IF(A140="","",EDATE('Calculator'!$B$7,A140-1))</f>
        <v>50510</v>
      </c>
      <c r="C140" s="22">
        <f>IF(A140="","",H139)</f>
        <v>246246.3</v>
      </c>
      <c r="D140" s="22">
        <f>IF(A140="","",MIN('Calculator'!$B$10,C140+E140))</f>
        <v>1896.21</v>
      </c>
      <c r="E140" s="22">
        <f>IF(A140="","",ROUND(C140*'Calculator'!$B$5/12,2))</f>
        <v>1333.83</v>
      </c>
      <c r="F140" s="22">
        <f>IF(A140="","",D140-E140)</f>
        <v>562.38</v>
      </c>
      <c r="G140" s="22">
        <f>IF(A140="","",MAX(0,MIN(N('Calculator'!$B$8),C140-F140)))</f>
        <v>0</v>
      </c>
      <c r="H140" s="23">
        <f>IF(A140="","",ROUND(C140-F140-G140,2))</f>
        <v>245683.92</v>
      </c>
      <c r="I140" s="20">
        <f>IF(A140="","",ROUNDUP(A140/12,0))</f>
        <v>12</v>
      </c>
    </row>
    <row r="141" spans="1:9" x14ac:dyDescent="0.25">
      <c r="A141" s="20">
        <f>IF(H140="","",IF(H140&gt;0.005,A140+1,""))</f>
        <v>137</v>
      </c>
      <c r="B141" s="21">
        <f>IF(A141="","",EDATE('Calculator'!$B$7,A141-1))</f>
        <v>50540</v>
      </c>
      <c r="C141" s="22">
        <f>IF(A141="","",H140)</f>
        <v>245683.92</v>
      </c>
      <c r="D141" s="22">
        <f>IF(A141="","",MIN('Calculator'!$B$10,C141+E141))</f>
        <v>1896.21</v>
      </c>
      <c r="E141" s="22">
        <f>IF(A141="","",ROUND(C141*'Calculator'!$B$5/12,2))</f>
        <v>1330.79</v>
      </c>
      <c r="F141" s="22">
        <f>IF(A141="","",D141-E141)</f>
        <v>565.42</v>
      </c>
      <c r="G141" s="22">
        <f>IF(A141="","",MAX(0,MIN(N('Calculator'!$B$8),C141-F141)))</f>
        <v>0</v>
      </c>
      <c r="H141" s="23">
        <f>IF(A141="","",ROUND(C141-F141-G141,2))</f>
        <v>245118.5</v>
      </c>
      <c r="I141" s="20">
        <f>IF(A141="","",ROUNDUP(A141/12,0))</f>
        <v>12</v>
      </c>
    </row>
    <row r="142" spans="1:9" x14ac:dyDescent="0.25">
      <c r="A142" s="20">
        <f>IF(H141="","",IF(H141&gt;0.005,A141+1,""))</f>
        <v>138</v>
      </c>
      <c r="B142" s="21">
        <f>IF(A142="","",EDATE('Calculator'!$B$7,A142-1))</f>
        <v>50571</v>
      </c>
      <c r="C142" s="22">
        <f>IF(A142="","",H141)</f>
        <v>245118.5</v>
      </c>
      <c r="D142" s="22">
        <f>IF(A142="","",MIN('Calculator'!$B$10,C142+E142))</f>
        <v>1896.21</v>
      </c>
      <c r="E142" s="22">
        <f>IF(A142="","",ROUND(C142*'Calculator'!$B$5/12,2))</f>
        <v>1327.73</v>
      </c>
      <c r="F142" s="22">
        <f>IF(A142="","",D142-E142)</f>
        <v>568.48</v>
      </c>
      <c r="G142" s="22">
        <f>IF(A142="","",MAX(0,MIN(N('Calculator'!$B$8),C142-F142)))</f>
        <v>0</v>
      </c>
      <c r="H142" s="23">
        <f>IF(A142="","",ROUND(C142-F142-G142,2))</f>
        <v>244550.02</v>
      </c>
      <c r="I142" s="20">
        <f>IF(A142="","",ROUNDUP(A142/12,0))</f>
        <v>12</v>
      </c>
    </row>
    <row r="143" spans="1:9" x14ac:dyDescent="0.25">
      <c r="A143" s="20">
        <f>IF(H142="","",IF(H142&gt;0.005,A142+1,""))</f>
        <v>139</v>
      </c>
      <c r="B143" s="21">
        <f>IF(A143="","",EDATE('Calculator'!$B$7,A143-1))</f>
        <v>50601</v>
      </c>
      <c r="C143" s="22">
        <f>IF(A143="","",H142)</f>
        <v>244550.02</v>
      </c>
      <c r="D143" s="22">
        <f>IF(A143="","",MIN('Calculator'!$B$10,C143+E143))</f>
        <v>1896.21</v>
      </c>
      <c r="E143" s="22">
        <f>IF(A143="","",ROUND(C143*'Calculator'!$B$5/12,2))</f>
        <v>1324.65</v>
      </c>
      <c r="F143" s="22">
        <f>IF(A143="","",D143-E143)</f>
        <v>571.56</v>
      </c>
      <c r="G143" s="22">
        <f>IF(A143="","",MAX(0,MIN(N('Calculator'!$B$8),C143-F143)))</f>
        <v>0</v>
      </c>
      <c r="H143" s="23">
        <f>IF(A143="","",ROUND(C143-F143-G143,2))</f>
        <v>243978.46</v>
      </c>
      <c r="I143" s="20">
        <f>IF(A143="","",ROUNDUP(A143/12,0))</f>
        <v>12</v>
      </c>
    </row>
    <row r="144" spans="1:9" x14ac:dyDescent="0.25">
      <c r="A144" s="20">
        <f>IF(H143="","",IF(H143&gt;0.005,A143+1,""))</f>
        <v>140</v>
      </c>
      <c r="B144" s="21">
        <f>IF(A144="","",EDATE('Calculator'!$B$7,A144-1))</f>
        <v>50632</v>
      </c>
      <c r="C144" s="22">
        <f>IF(A144="","",H143)</f>
        <v>243978.46</v>
      </c>
      <c r="D144" s="22">
        <f>IF(A144="","",MIN('Calculator'!$B$10,C144+E144))</f>
        <v>1896.21</v>
      </c>
      <c r="E144" s="22">
        <f>IF(A144="","",ROUND(C144*'Calculator'!$B$5/12,2))</f>
        <v>1321.55</v>
      </c>
      <c r="F144" s="22">
        <f>IF(A144="","",D144-E144)</f>
        <v>574.66</v>
      </c>
      <c r="G144" s="22">
        <f>IF(A144="","",MAX(0,MIN(N('Calculator'!$B$8),C144-F144)))</f>
        <v>0</v>
      </c>
      <c r="H144" s="23">
        <f>IF(A144="","",ROUND(C144-F144-G144,2))</f>
        <v>243403.8</v>
      </c>
      <c r="I144" s="20">
        <f>IF(A144="","",ROUNDUP(A144/12,0))</f>
        <v>12</v>
      </c>
    </row>
    <row r="145" spans="1:9" x14ac:dyDescent="0.25">
      <c r="A145" s="20">
        <f>IF(H144="","",IF(H144&gt;0.005,A144+1,""))</f>
        <v>141</v>
      </c>
      <c r="B145" s="21">
        <f>IF(A145="","",EDATE('Calculator'!$B$7,A145-1))</f>
        <v>50663</v>
      </c>
      <c r="C145" s="22">
        <f>IF(A145="","",H144)</f>
        <v>243403.8</v>
      </c>
      <c r="D145" s="22">
        <f>IF(A145="","",MIN('Calculator'!$B$10,C145+E145))</f>
        <v>1896.21</v>
      </c>
      <c r="E145" s="22">
        <f>IF(A145="","",ROUND(C145*'Calculator'!$B$5/12,2))</f>
        <v>1318.44</v>
      </c>
      <c r="F145" s="22">
        <f>IF(A145="","",D145-E145)</f>
        <v>577.77</v>
      </c>
      <c r="G145" s="22">
        <f>IF(A145="","",MAX(0,MIN(N('Calculator'!$B$8),C145-F145)))</f>
        <v>0</v>
      </c>
      <c r="H145" s="23">
        <f>IF(A145="","",ROUND(C145-F145-G145,2))</f>
        <v>242826.03</v>
      </c>
      <c r="I145" s="20">
        <f>IF(A145="","",ROUNDUP(A145/12,0))</f>
        <v>12</v>
      </c>
    </row>
    <row r="146" spans="1:9" x14ac:dyDescent="0.25">
      <c r="A146" s="20">
        <f>IF(H145="","",IF(H145&gt;0.005,A145+1,""))</f>
        <v>142</v>
      </c>
      <c r="B146" s="21">
        <f>IF(A146="","",EDATE('Calculator'!$B$7,A146-1))</f>
        <v>50693</v>
      </c>
      <c r="C146" s="22">
        <f>IF(A146="","",H145)</f>
        <v>242826.03</v>
      </c>
      <c r="D146" s="22">
        <f>IF(A146="","",MIN('Calculator'!$B$10,C146+E146))</f>
        <v>1896.21</v>
      </c>
      <c r="E146" s="22">
        <f>IF(A146="","",ROUND(C146*'Calculator'!$B$5/12,2))</f>
        <v>1315.31</v>
      </c>
      <c r="F146" s="22">
        <f>IF(A146="","",D146-E146)</f>
        <v>580.9</v>
      </c>
      <c r="G146" s="22">
        <f>IF(A146="","",MAX(0,MIN(N('Calculator'!$B$8),C146-F146)))</f>
        <v>0</v>
      </c>
      <c r="H146" s="23">
        <f>IF(A146="","",ROUND(C146-F146-G146,2))</f>
        <v>242245.13</v>
      </c>
      <c r="I146" s="20">
        <f>IF(A146="","",ROUNDUP(A146/12,0))</f>
        <v>12</v>
      </c>
    </row>
    <row r="147" spans="1:9" x14ac:dyDescent="0.25">
      <c r="A147" s="20">
        <f>IF(H146="","",IF(H146&gt;0.005,A146+1,""))</f>
        <v>143</v>
      </c>
      <c r="B147" s="21">
        <f>IF(A147="","",EDATE('Calculator'!$B$7,A147-1))</f>
        <v>50724</v>
      </c>
      <c r="C147" s="22">
        <f>IF(A147="","",H146)</f>
        <v>242245.13</v>
      </c>
      <c r="D147" s="22">
        <f>IF(A147="","",MIN('Calculator'!$B$10,C147+E147))</f>
        <v>1896.21</v>
      </c>
      <c r="E147" s="22">
        <f>IF(A147="","",ROUND(C147*'Calculator'!$B$5/12,2))</f>
        <v>1312.16</v>
      </c>
      <c r="F147" s="22">
        <f>IF(A147="","",D147-E147)</f>
        <v>584.05</v>
      </c>
      <c r="G147" s="22">
        <f>IF(A147="","",MAX(0,MIN(N('Calculator'!$B$8),C147-F147)))</f>
        <v>0</v>
      </c>
      <c r="H147" s="23">
        <f>IF(A147="","",ROUND(C147-F147-G147,2))</f>
        <v>241661.08</v>
      </c>
      <c r="I147" s="20">
        <f>IF(A147="","",ROUNDUP(A147/12,0))</f>
        <v>12</v>
      </c>
    </row>
    <row r="148" spans="1:9" x14ac:dyDescent="0.25">
      <c r="A148" s="20">
        <f>IF(H147="","",IF(H147&gt;0.005,A147+1,""))</f>
        <v>144</v>
      </c>
      <c r="B148" s="21">
        <f>IF(A148="","",EDATE('Calculator'!$B$7,A148-1))</f>
        <v>50754</v>
      </c>
      <c r="C148" s="22">
        <f>IF(A148="","",H147)</f>
        <v>241661.08</v>
      </c>
      <c r="D148" s="22">
        <f>IF(A148="","",MIN('Calculator'!$B$10,C148+E148))</f>
        <v>1896.21</v>
      </c>
      <c r="E148" s="22">
        <f>IF(A148="","",ROUND(C148*'Calculator'!$B$5/12,2))</f>
        <v>1309</v>
      </c>
      <c r="F148" s="22">
        <f>IF(A148="","",D148-E148)</f>
        <v>587.21</v>
      </c>
      <c r="G148" s="22">
        <f>IF(A148="","",MAX(0,MIN(N('Calculator'!$B$8),C148-F148)))</f>
        <v>0</v>
      </c>
      <c r="H148" s="23">
        <f>IF(A148="","",ROUND(C148-F148-G148,2))</f>
        <v>241073.87</v>
      </c>
      <c r="I148" s="20">
        <f>IF(A148="","",ROUNDUP(A148/12,0))</f>
        <v>12</v>
      </c>
    </row>
    <row r="149" spans="1:9" x14ac:dyDescent="0.25">
      <c r="A149" s="20">
        <f>IF(H148="","",IF(H148&gt;0.005,A148+1,""))</f>
        <v>145</v>
      </c>
      <c r="B149" s="21">
        <f>IF(A149="","",EDATE('Calculator'!$B$7,A149-1))</f>
        <v>50785</v>
      </c>
      <c r="C149" s="22">
        <f>IF(A149="","",H148)</f>
        <v>241073.87</v>
      </c>
      <c r="D149" s="22">
        <f>IF(A149="","",MIN('Calculator'!$B$10,C149+E149))</f>
        <v>1896.21</v>
      </c>
      <c r="E149" s="22">
        <f>IF(A149="","",ROUND(C149*'Calculator'!$B$5/12,2))</f>
        <v>1305.82</v>
      </c>
      <c r="F149" s="22">
        <f>IF(A149="","",D149-E149)</f>
        <v>590.39</v>
      </c>
      <c r="G149" s="22">
        <f>IF(A149="","",MAX(0,MIN(N('Calculator'!$B$8),C149-F149)))</f>
        <v>0</v>
      </c>
      <c r="H149" s="23">
        <f>IF(A149="","",ROUND(C149-F149-G149,2))</f>
        <v>240483.48</v>
      </c>
      <c r="I149" s="20">
        <f>IF(A149="","",ROUNDUP(A149/12,0))</f>
        <v>13</v>
      </c>
    </row>
    <row r="150" spans="1:9" x14ac:dyDescent="0.25">
      <c r="A150" s="20">
        <f>IF(H149="","",IF(H149&gt;0.005,A149+1,""))</f>
        <v>146</v>
      </c>
      <c r="B150" s="21">
        <f>IF(A150="","",EDATE('Calculator'!$B$7,A150-1))</f>
        <v>50816</v>
      </c>
      <c r="C150" s="22">
        <f>IF(A150="","",H149)</f>
        <v>240483.48</v>
      </c>
      <c r="D150" s="22">
        <f>IF(A150="","",MIN('Calculator'!$B$10,C150+E150))</f>
        <v>1896.21</v>
      </c>
      <c r="E150" s="22">
        <f>IF(A150="","",ROUND(C150*'Calculator'!$B$5/12,2))</f>
        <v>1302.62</v>
      </c>
      <c r="F150" s="22">
        <f>IF(A150="","",D150-E150)</f>
        <v>593.59</v>
      </c>
      <c r="G150" s="22">
        <f>IF(A150="","",MAX(0,MIN(N('Calculator'!$B$8),C150-F150)))</f>
        <v>0</v>
      </c>
      <c r="H150" s="23">
        <f>IF(A150="","",ROUND(C150-F150-G150,2))</f>
        <v>239889.89</v>
      </c>
      <c r="I150" s="20">
        <f>IF(A150="","",ROUNDUP(A150/12,0))</f>
        <v>13</v>
      </c>
    </row>
    <row r="151" spans="1:9" x14ac:dyDescent="0.25">
      <c r="A151" s="20">
        <f>IF(H150="","",IF(H150&gt;0.005,A150+1,""))</f>
        <v>147</v>
      </c>
      <c r="B151" s="21">
        <f>IF(A151="","",EDATE('Calculator'!$B$7,A151-1))</f>
        <v>50844</v>
      </c>
      <c r="C151" s="22">
        <f>IF(A151="","",H150)</f>
        <v>239889.89</v>
      </c>
      <c r="D151" s="22">
        <f>IF(A151="","",MIN('Calculator'!$B$10,C151+E151))</f>
        <v>1896.21</v>
      </c>
      <c r="E151" s="22">
        <f>IF(A151="","",ROUND(C151*'Calculator'!$B$5/12,2))</f>
        <v>1299.4</v>
      </c>
      <c r="F151" s="22">
        <f>IF(A151="","",D151-E151)</f>
        <v>596.81</v>
      </c>
      <c r="G151" s="22">
        <f>IF(A151="","",MAX(0,MIN(N('Calculator'!$B$8),C151-F151)))</f>
        <v>0</v>
      </c>
      <c r="H151" s="23">
        <f>IF(A151="","",ROUND(C151-F151-G151,2))</f>
        <v>239293.08</v>
      </c>
      <c r="I151" s="20">
        <f>IF(A151="","",ROUNDUP(A151/12,0))</f>
        <v>13</v>
      </c>
    </row>
    <row r="152" spans="1:9" x14ac:dyDescent="0.25">
      <c r="A152" s="20">
        <f>IF(H151="","",IF(H151&gt;0.005,A151+1,""))</f>
        <v>148</v>
      </c>
      <c r="B152" s="21">
        <f>IF(A152="","",EDATE('Calculator'!$B$7,A152-1))</f>
        <v>50875</v>
      </c>
      <c r="C152" s="22">
        <f>IF(A152="","",H151)</f>
        <v>239293.08</v>
      </c>
      <c r="D152" s="22">
        <f>IF(A152="","",MIN('Calculator'!$B$10,C152+E152))</f>
        <v>1896.21</v>
      </c>
      <c r="E152" s="22">
        <f>IF(A152="","",ROUND(C152*'Calculator'!$B$5/12,2))</f>
        <v>1296.17</v>
      </c>
      <c r="F152" s="22">
        <f>IF(A152="","",D152-E152)</f>
        <v>600.04</v>
      </c>
      <c r="G152" s="22">
        <f>IF(A152="","",MAX(0,MIN(N('Calculator'!$B$8),C152-F152)))</f>
        <v>0</v>
      </c>
      <c r="H152" s="23">
        <f>IF(A152="","",ROUND(C152-F152-G152,2))</f>
        <v>238693.04</v>
      </c>
      <c r="I152" s="20">
        <f>IF(A152="","",ROUNDUP(A152/12,0))</f>
        <v>13</v>
      </c>
    </row>
    <row r="153" spans="1:9" x14ac:dyDescent="0.25">
      <c r="A153" s="20">
        <f>IF(H152="","",IF(H152&gt;0.005,A152+1,""))</f>
        <v>149</v>
      </c>
      <c r="B153" s="21">
        <f>IF(A153="","",EDATE('Calculator'!$B$7,A153-1))</f>
        <v>50905</v>
      </c>
      <c r="C153" s="22">
        <f>IF(A153="","",H152)</f>
        <v>238693.04</v>
      </c>
      <c r="D153" s="22">
        <f>IF(A153="","",MIN('Calculator'!$B$10,C153+E153))</f>
        <v>1896.21</v>
      </c>
      <c r="E153" s="22">
        <f>IF(A153="","",ROUND(C153*'Calculator'!$B$5/12,2))</f>
        <v>1292.92</v>
      </c>
      <c r="F153" s="22">
        <f>IF(A153="","",D153-E153)</f>
        <v>603.29</v>
      </c>
      <c r="G153" s="22">
        <f>IF(A153="","",MAX(0,MIN(N('Calculator'!$B$8),C153-F153)))</f>
        <v>0</v>
      </c>
      <c r="H153" s="23">
        <f>IF(A153="","",ROUND(C153-F153-G153,2))</f>
        <v>238089.75</v>
      </c>
      <c r="I153" s="20">
        <f>IF(A153="","",ROUNDUP(A153/12,0))</f>
        <v>13</v>
      </c>
    </row>
    <row r="154" spans="1:9" x14ac:dyDescent="0.25">
      <c r="A154" s="20">
        <f>IF(H153="","",IF(H153&gt;0.005,A153+1,""))</f>
        <v>150</v>
      </c>
      <c r="B154" s="21">
        <f>IF(A154="","",EDATE('Calculator'!$B$7,A154-1))</f>
        <v>50936</v>
      </c>
      <c r="C154" s="22">
        <f>IF(A154="","",H153)</f>
        <v>238089.75</v>
      </c>
      <c r="D154" s="22">
        <f>IF(A154="","",MIN('Calculator'!$B$10,C154+E154))</f>
        <v>1896.21</v>
      </c>
      <c r="E154" s="22">
        <f>IF(A154="","",ROUND(C154*'Calculator'!$B$5/12,2))</f>
        <v>1289.65</v>
      </c>
      <c r="F154" s="22">
        <f>IF(A154="","",D154-E154)</f>
        <v>606.56</v>
      </c>
      <c r="G154" s="22">
        <f>IF(A154="","",MAX(0,MIN(N('Calculator'!$B$8),C154-F154)))</f>
        <v>0</v>
      </c>
      <c r="H154" s="23">
        <f>IF(A154="","",ROUND(C154-F154-G154,2))</f>
        <v>237483.19</v>
      </c>
      <c r="I154" s="20">
        <f>IF(A154="","",ROUNDUP(A154/12,0))</f>
        <v>13</v>
      </c>
    </row>
    <row r="155" spans="1:9" x14ac:dyDescent="0.25">
      <c r="A155" s="20">
        <f>IF(H154="","",IF(H154&gt;0.005,A154+1,""))</f>
        <v>151</v>
      </c>
      <c r="B155" s="21">
        <f>IF(A155="","",EDATE('Calculator'!$B$7,A155-1))</f>
        <v>50966</v>
      </c>
      <c r="C155" s="22">
        <f>IF(A155="","",H154)</f>
        <v>237483.19</v>
      </c>
      <c r="D155" s="22">
        <f>IF(A155="","",MIN('Calculator'!$B$10,C155+E155))</f>
        <v>1896.21</v>
      </c>
      <c r="E155" s="22">
        <f>IF(A155="","",ROUND(C155*'Calculator'!$B$5/12,2))</f>
        <v>1286.37</v>
      </c>
      <c r="F155" s="22">
        <f>IF(A155="","",D155-E155)</f>
        <v>609.84</v>
      </c>
      <c r="G155" s="22">
        <f>IF(A155="","",MAX(0,MIN(N('Calculator'!$B$8),C155-F155)))</f>
        <v>0</v>
      </c>
      <c r="H155" s="23">
        <f>IF(A155="","",ROUND(C155-F155-G155,2))</f>
        <v>236873.35</v>
      </c>
      <c r="I155" s="20">
        <f>IF(A155="","",ROUNDUP(A155/12,0))</f>
        <v>13</v>
      </c>
    </row>
    <row r="156" spans="1:9" x14ac:dyDescent="0.25">
      <c r="A156" s="20">
        <f>IF(H155="","",IF(H155&gt;0.005,A155+1,""))</f>
        <v>152</v>
      </c>
      <c r="B156" s="21">
        <f>IF(A156="","",EDATE('Calculator'!$B$7,A156-1))</f>
        <v>50997</v>
      </c>
      <c r="C156" s="22">
        <f>IF(A156="","",H155)</f>
        <v>236873.35</v>
      </c>
      <c r="D156" s="22">
        <f>IF(A156="","",MIN('Calculator'!$B$10,C156+E156))</f>
        <v>1896.21</v>
      </c>
      <c r="E156" s="22">
        <f>IF(A156="","",ROUND(C156*'Calculator'!$B$5/12,2))</f>
        <v>1283.06</v>
      </c>
      <c r="F156" s="22">
        <f>IF(A156="","",D156-E156)</f>
        <v>613.15</v>
      </c>
      <c r="G156" s="22">
        <f>IF(A156="","",MAX(0,MIN(N('Calculator'!$B$8),C156-F156)))</f>
        <v>0</v>
      </c>
      <c r="H156" s="23">
        <f>IF(A156="","",ROUND(C156-F156-G156,2))</f>
        <v>236260.2</v>
      </c>
      <c r="I156" s="20">
        <f>IF(A156="","",ROUNDUP(A156/12,0))</f>
        <v>13</v>
      </c>
    </row>
    <row r="157" spans="1:9" x14ac:dyDescent="0.25">
      <c r="A157" s="20">
        <f>IF(H156="","",IF(H156&gt;0.005,A156+1,""))</f>
        <v>153</v>
      </c>
      <c r="B157" s="21">
        <f>IF(A157="","",EDATE('Calculator'!$B$7,A157-1))</f>
        <v>51028</v>
      </c>
      <c r="C157" s="22">
        <f>IF(A157="","",H156)</f>
        <v>236260.2</v>
      </c>
      <c r="D157" s="22">
        <f>IF(A157="","",MIN('Calculator'!$B$10,C157+E157))</f>
        <v>1896.21</v>
      </c>
      <c r="E157" s="22">
        <f>IF(A157="","",ROUND(C157*'Calculator'!$B$5/12,2))</f>
        <v>1279.74</v>
      </c>
      <c r="F157" s="22">
        <f>IF(A157="","",D157-E157)</f>
        <v>616.47</v>
      </c>
      <c r="G157" s="22">
        <f>IF(A157="","",MAX(0,MIN(N('Calculator'!$B$8),C157-F157)))</f>
        <v>0</v>
      </c>
      <c r="H157" s="23">
        <f>IF(A157="","",ROUND(C157-F157-G157,2))</f>
        <v>235643.73</v>
      </c>
      <c r="I157" s="20">
        <f>IF(A157="","",ROUNDUP(A157/12,0))</f>
        <v>13</v>
      </c>
    </row>
    <row r="158" spans="1:9" x14ac:dyDescent="0.25">
      <c r="A158" s="20">
        <f>IF(H157="","",IF(H157&gt;0.005,A157+1,""))</f>
        <v>154</v>
      </c>
      <c r="B158" s="21">
        <f>IF(A158="","",EDATE('Calculator'!$B$7,A158-1))</f>
        <v>51058</v>
      </c>
      <c r="C158" s="22">
        <f>IF(A158="","",H157)</f>
        <v>235643.73</v>
      </c>
      <c r="D158" s="22">
        <f>IF(A158="","",MIN('Calculator'!$B$10,C158+E158))</f>
        <v>1896.21</v>
      </c>
      <c r="E158" s="22">
        <f>IF(A158="","",ROUND(C158*'Calculator'!$B$5/12,2))</f>
        <v>1276.4</v>
      </c>
      <c r="F158" s="22">
        <f>IF(A158="","",D158-E158)</f>
        <v>619.81</v>
      </c>
      <c r="G158" s="22">
        <f>IF(A158="","",MAX(0,MIN(N('Calculator'!$B$8),C158-F158)))</f>
        <v>0</v>
      </c>
      <c r="H158" s="23">
        <f>IF(A158="","",ROUND(C158-F158-G158,2))</f>
        <v>235023.92</v>
      </c>
      <c r="I158" s="20">
        <f>IF(A158="","",ROUNDUP(A158/12,0))</f>
        <v>13</v>
      </c>
    </row>
    <row r="159" spans="1:9" x14ac:dyDescent="0.25">
      <c r="A159" s="20">
        <f>IF(H158="","",IF(H158&gt;0.005,A158+1,""))</f>
        <v>155</v>
      </c>
      <c r="B159" s="21">
        <f>IF(A159="","",EDATE('Calculator'!$B$7,A159-1))</f>
        <v>51089</v>
      </c>
      <c r="C159" s="22">
        <f>IF(A159="","",H158)</f>
        <v>235023.92</v>
      </c>
      <c r="D159" s="22">
        <f>IF(A159="","",MIN('Calculator'!$B$10,C159+E159))</f>
        <v>1896.21</v>
      </c>
      <c r="E159" s="22">
        <f>IF(A159="","",ROUND(C159*'Calculator'!$B$5/12,2))</f>
        <v>1273.05</v>
      </c>
      <c r="F159" s="22">
        <f>IF(A159="","",D159-E159)</f>
        <v>623.16</v>
      </c>
      <c r="G159" s="22">
        <f>IF(A159="","",MAX(0,MIN(N('Calculator'!$B$8),C159-F159)))</f>
        <v>0</v>
      </c>
      <c r="H159" s="23">
        <f>IF(A159="","",ROUND(C159-F159-G159,2))</f>
        <v>234400.76</v>
      </c>
      <c r="I159" s="20">
        <f>IF(A159="","",ROUNDUP(A159/12,0))</f>
        <v>13</v>
      </c>
    </row>
    <row r="160" spans="1:9" x14ac:dyDescent="0.25">
      <c r="A160" s="20">
        <f>IF(H159="","",IF(H159&gt;0.005,A159+1,""))</f>
        <v>156</v>
      </c>
      <c r="B160" s="21">
        <f>IF(A160="","",EDATE('Calculator'!$B$7,A160-1))</f>
        <v>51119</v>
      </c>
      <c r="C160" s="22">
        <f>IF(A160="","",H159)</f>
        <v>234400.76</v>
      </c>
      <c r="D160" s="22">
        <f>IF(A160="","",MIN('Calculator'!$B$10,C160+E160))</f>
        <v>1896.21</v>
      </c>
      <c r="E160" s="22">
        <f>IF(A160="","",ROUND(C160*'Calculator'!$B$5/12,2))</f>
        <v>1269.67</v>
      </c>
      <c r="F160" s="22">
        <f>IF(A160="","",D160-E160)</f>
        <v>626.54</v>
      </c>
      <c r="G160" s="22">
        <f>IF(A160="","",MAX(0,MIN(N('Calculator'!$B$8),C160-F160)))</f>
        <v>0</v>
      </c>
      <c r="H160" s="23">
        <f>IF(A160="","",ROUND(C160-F160-G160,2))</f>
        <v>233774.22</v>
      </c>
      <c r="I160" s="20">
        <f>IF(A160="","",ROUNDUP(A160/12,0))</f>
        <v>13</v>
      </c>
    </row>
    <row r="161" spans="1:9" x14ac:dyDescent="0.25">
      <c r="A161" s="20">
        <f>IF(H160="","",IF(H160&gt;0.005,A160+1,""))</f>
        <v>157</v>
      </c>
      <c r="B161" s="21">
        <f>IF(A161="","",EDATE('Calculator'!$B$7,A161-1))</f>
        <v>51150</v>
      </c>
      <c r="C161" s="22">
        <f>IF(A161="","",H160)</f>
        <v>233774.22</v>
      </c>
      <c r="D161" s="22">
        <f>IF(A161="","",MIN('Calculator'!$B$10,C161+E161))</f>
        <v>1896.21</v>
      </c>
      <c r="E161" s="22">
        <f>IF(A161="","",ROUND(C161*'Calculator'!$B$5/12,2))</f>
        <v>1266.28</v>
      </c>
      <c r="F161" s="22">
        <f>IF(A161="","",D161-E161)</f>
        <v>629.93</v>
      </c>
      <c r="G161" s="22">
        <f>IF(A161="","",MAX(0,MIN(N('Calculator'!$B$8),C161-F161)))</f>
        <v>0</v>
      </c>
      <c r="H161" s="23">
        <f>IF(A161="","",ROUND(C161-F161-G161,2))</f>
        <v>233144.29</v>
      </c>
      <c r="I161" s="20">
        <f>IF(A161="","",ROUNDUP(A161/12,0))</f>
        <v>14</v>
      </c>
    </row>
    <row r="162" spans="1:9" x14ac:dyDescent="0.25">
      <c r="A162" s="20">
        <f>IF(H161="","",IF(H161&gt;0.005,A161+1,""))</f>
        <v>158</v>
      </c>
      <c r="B162" s="21">
        <f>IF(A162="","",EDATE('Calculator'!$B$7,A162-1))</f>
        <v>51181</v>
      </c>
      <c r="C162" s="22">
        <f>IF(A162="","",H161)</f>
        <v>233144.29</v>
      </c>
      <c r="D162" s="22">
        <f>IF(A162="","",MIN('Calculator'!$B$10,C162+E162))</f>
        <v>1896.21</v>
      </c>
      <c r="E162" s="22">
        <f>IF(A162="","",ROUND(C162*'Calculator'!$B$5/12,2))</f>
        <v>1262.86</v>
      </c>
      <c r="F162" s="22">
        <f>IF(A162="","",D162-E162)</f>
        <v>633.35</v>
      </c>
      <c r="G162" s="22">
        <f>IF(A162="","",MAX(0,MIN(N('Calculator'!$B$8),C162-F162)))</f>
        <v>0</v>
      </c>
      <c r="H162" s="23">
        <f>IF(A162="","",ROUND(C162-F162-G162,2))</f>
        <v>232510.94</v>
      </c>
      <c r="I162" s="20">
        <f>IF(A162="","",ROUNDUP(A162/12,0))</f>
        <v>14</v>
      </c>
    </row>
    <row r="163" spans="1:9" x14ac:dyDescent="0.25">
      <c r="A163" s="20">
        <f>IF(H162="","",IF(H162&gt;0.005,A162+1,""))</f>
        <v>159</v>
      </c>
      <c r="B163" s="21">
        <f>IF(A163="","",EDATE('Calculator'!$B$7,A163-1))</f>
        <v>51210</v>
      </c>
      <c r="C163" s="22">
        <f>IF(A163="","",H162)</f>
        <v>232510.94</v>
      </c>
      <c r="D163" s="22">
        <f>IF(A163="","",MIN('Calculator'!$B$10,C163+E163))</f>
        <v>1896.21</v>
      </c>
      <c r="E163" s="22">
        <f>IF(A163="","",ROUND(C163*'Calculator'!$B$5/12,2))</f>
        <v>1259.43</v>
      </c>
      <c r="F163" s="22">
        <f>IF(A163="","",D163-E163)</f>
        <v>636.78</v>
      </c>
      <c r="G163" s="22">
        <f>IF(A163="","",MAX(0,MIN(N('Calculator'!$B$8),C163-F163)))</f>
        <v>0</v>
      </c>
      <c r="H163" s="23">
        <f>IF(A163="","",ROUND(C163-F163-G163,2))</f>
        <v>231874.16</v>
      </c>
      <c r="I163" s="20">
        <f>IF(A163="","",ROUNDUP(A163/12,0))</f>
        <v>14</v>
      </c>
    </row>
    <row r="164" spans="1:9" x14ac:dyDescent="0.25">
      <c r="A164" s="20">
        <f>IF(H163="","",IF(H163&gt;0.005,A163+1,""))</f>
        <v>160</v>
      </c>
      <c r="B164" s="21">
        <f>IF(A164="","",EDATE('Calculator'!$B$7,A164-1))</f>
        <v>51241</v>
      </c>
      <c r="C164" s="22">
        <f>IF(A164="","",H163)</f>
        <v>231874.16</v>
      </c>
      <c r="D164" s="22">
        <f>IF(A164="","",MIN('Calculator'!$B$10,C164+E164))</f>
        <v>1896.21</v>
      </c>
      <c r="E164" s="22">
        <f>IF(A164="","",ROUND(C164*'Calculator'!$B$5/12,2))</f>
        <v>1255.99</v>
      </c>
      <c r="F164" s="22">
        <f>IF(A164="","",D164-E164)</f>
        <v>640.22</v>
      </c>
      <c r="G164" s="22">
        <f>IF(A164="","",MAX(0,MIN(N('Calculator'!$B$8),C164-F164)))</f>
        <v>0</v>
      </c>
      <c r="H164" s="23">
        <f>IF(A164="","",ROUND(C164-F164-G164,2))</f>
        <v>231233.94</v>
      </c>
      <c r="I164" s="20">
        <f>IF(A164="","",ROUNDUP(A164/12,0))</f>
        <v>14</v>
      </c>
    </row>
    <row r="165" spans="1:9" x14ac:dyDescent="0.25">
      <c r="A165" s="20">
        <f>IF(H164="","",IF(H164&gt;0.005,A164+1,""))</f>
        <v>161</v>
      </c>
      <c r="B165" s="21">
        <f>IF(A165="","",EDATE('Calculator'!$B$7,A165-1))</f>
        <v>51271</v>
      </c>
      <c r="C165" s="22">
        <f>IF(A165="","",H164)</f>
        <v>231233.94</v>
      </c>
      <c r="D165" s="22">
        <f>IF(A165="","",MIN('Calculator'!$B$10,C165+E165))</f>
        <v>1896.21</v>
      </c>
      <c r="E165" s="22">
        <f>IF(A165="","",ROUND(C165*'Calculator'!$B$5/12,2))</f>
        <v>1252.52</v>
      </c>
      <c r="F165" s="22">
        <f>IF(A165="","",D165-E165)</f>
        <v>643.69</v>
      </c>
      <c r="G165" s="22">
        <f>IF(A165="","",MAX(0,MIN(N('Calculator'!$B$8),C165-F165)))</f>
        <v>0</v>
      </c>
      <c r="H165" s="23">
        <f>IF(A165="","",ROUND(C165-F165-G165,2))</f>
        <v>230590.25</v>
      </c>
      <c r="I165" s="20">
        <f>IF(A165="","",ROUNDUP(A165/12,0))</f>
        <v>14</v>
      </c>
    </row>
    <row r="166" spans="1:9" x14ac:dyDescent="0.25">
      <c r="A166" s="20">
        <f>IF(H165="","",IF(H165&gt;0.005,A165+1,""))</f>
        <v>162</v>
      </c>
      <c r="B166" s="21">
        <f>IF(A166="","",EDATE('Calculator'!$B$7,A166-1))</f>
        <v>51302</v>
      </c>
      <c r="C166" s="22">
        <f>IF(A166="","",H165)</f>
        <v>230590.25</v>
      </c>
      <c r="D166" s="22">
        <f>IF(A166="","",MIN('Calculator'!$B$10,C166+E166))</f>
        <v>1896.21</v>
      </c>
      <c r="E166" s="22">
        <f>IF(A166="","",ROUND(C166*'Calculator'!$B$5/12,2))</f>
        <v>1249.03</v>
      </c>
      <c r="F166" s="22">
        <f>IF(A166="","",D166-E166)</f>
        <v>647.18</v>
      </c>
      <c r="G166" s="22">
        <f>IF(A166="","",MAX(0,MIN(N('Calculator'!$B$8),C166-F166)))</f>
        <v>0</v>
      </c>
      <c r="H166" s="23">
        <f>IF(A166="","",ROUND(C166-F166-G166,2))</f>
        <v>229943.07</v>
      </c>
      <c r="I166" s="20">
        <f>IF(A166="","",ROUNDUP(A166/12,0))</f>
        <v>14</v>
      </c>
    </row>
    <row r="167" spans="1:9" x14ac:dyDescent="0.25">
      <c r="A167" s="20">
        <f>IF(H166="","",IF(H166&gt;0.005,A166+1,""))</f>
        <v>163</v>
      </c>
      <c r="B167" s="21">
        <f>IF(A167="","",EDATE('Calculator'!$B$7,A167-1))</f>
        <v>51332</v>
      </c>
      <c r="C167" s="22">
        <f>IF(A167="","",H166)</f>
        <v>229943.07</v>
      </c>
      <c r="D167" s="22">
        <f>IF(A167="","",MIN('Calculator'!$B$10,C167+E167))</f>
        <v>1896.21</v>
      </c>
      <c r="E167" s="22">
        <f>IF(A167="","",ROUND(C167*'Calculator'!$B$5/12,2))</f>
        <v>1245.52</v>
      </c>
      <c r="F167" s="22">
        <f>IF(A167="","",D167-E167)</f>
        <v>650.69</v>
      </c>
      <c r="G167" s="22">
        <f>IF(A167="","",MAX(0,MIN(N('Calculator'!$B$8),C167-F167)))</f>
        <v>0</v>
      </c>
      <c r="H167" s="23">
        <f>IF(A167="","",ROUND(C167-F167-G167,2))</f>
        <v>229292.38</v>
      </c>
      <c r="I167" s="20">
        <f>IF(A167="","",ROUNDUP(A167/12,0))</f>
        <v>14</v>
      </c>
    </row>
    <row r="168" spans="1:9" x14ac:dyDescent="0.25">
      <c r="A168" s="20">
        <f>IF(H167="","",IF(H167&gt;0.005,A167+1,""))</f>
        <v>164</v>
      </c>
      <c r="B168" s="21">
        <f>IF(A168="","",EDATE('Calculator'!$B$7,A168-1))</f>
        <v>51363</v>
      </c>
      <c r="C168" s="22">
        <f>IF(A168="","",H167)</f>
        <v>229292.38</v>
      </c>
      <c r="D168" s="22">
        <f>IF(A168="","",MIN('Calculator'!$B$10,C168+E168))</f>
        <v>1896.21</v>
      </c>
      <c r="E168" s="22">
        <f>IF(A168="","",ROUND(C168*'Calculator'!$B$5/12,2))</f>
        <v>1242</v>
      </c>
      <c r="F168" s="22">
        <f>IF(A168="","",D168-E168)</f>
        <v>654.21</v>
      </c>
      <c r="G168" s="22">
        <f>IF(A168="","",MAX(0,MIN(N('Calculator'!$B$8),C168-F168)))</f>
        <v>0</v>
      </c>
      <c r="H168" s="23">
        <f>IF(A168="","",ROUND(C168-F168-G168,2))</f>
        <v>228638.17</v>
      </c>
      <c r="I168" s="20">
        <f>IF(A168="","",ROUNDUP(A168/12,0))</f>
        <v>14</v>
      </c>
    </row>
    <row r="169" spans="1:9" x14ac:dyDescent="0.25">
      <c r="A169" s="20">
        <f>IF(H168="","",IF(H168&gt;0.005,A168+1,""))</f>
        <v>165</v>
      </c>
      <c r="B169" s="21">
        <f>IF(A169="","",EDATE('Calculator'!$B$7,A169-1))</f>
        <v>51394</v>
      </c>
      <c r="C169" s="22">
        <f>IF(A169="","",H168)</f>
        <v>228638.17</v>
      </c>
      <c r="D169" s="22">
        <f>IF(A169="","",MIN('Calculator'!$B$10,C169+E169))</f>
        <v>1896.21</v>
      </c>
      <c r="E169" s="22">
        <f>IF(A169="","",ROUND(C169*'Calculator'!$B$5/12,2))</f>
        <v>1238.46</v>
      </c>
      <c r="F169" s="22">
        <f>IF(A169="","",D169-E169)</f>
        <v>657.75</v>
      </c>
      <c r="G169" s="22">
        <f>IF(A169="","",MAX(0,MIN(N('Calculator'!$B$8),C169-F169)))</f>
        <v>0</v>
      </c>
      <c r="H169" s="23">
        <f>IF(A169="","",ROUND(C169-F169-G169,2))</f>
        <v>227980.42</v>
      </c>
      <c r="I169" s="20">
        <f>IF(A169="","",ROUNDUP(A169/12,0))</f>
        <v>14</v>
      </c>
    </row>
    <row r="170" spans="1:9" x14ac:dyDescent="0.25">
      <c r="A170" s="20">
        <f>IF(H169="","",IF(H169&gt;0.005,A169+1,""))</f>
        <v>166</v>
      </c>
      <c r="B170" s="21">
        <f>IF(A170="","",EDATE('Calculator'!$B$7,A170-1))</f>
        <v>51424</v>
      </c>
      <c r="C170" s="22">
        <f>IF(A170="","",H169)</f>
        <v>227980.42</v>
      </c>
      <c r="D170" s="22">
        <f>IF(A170="","",MIN('Calculator'!$B$10,C170+E170))</f>
        <v>1896.21</v>
      </c>
      <c r="E170" s="22">
        <f>IF(A170="","",ROUND(C170*'Calculator'!$B$5/12,2))</f>
        <v>1234.89</v>
      </c>
      <c r="F170" s="22">
        <f>IF(A170="","",D170-E170)</f>
        <v>661.32</v>
      </c>
      <c r="G170" s="22">
        <f>IF(A170="","",MAX(0,MIN(N('Calculator'!$B$8),C170-F170)))</f>
        <v>0</v>
      </c>
      <c r="H170" s="23">
        <f>IF(A170="","",ROUND(C170-F170-G170,2))</f>
        <v>227319.1</v>
      </c>
      <c r="I170" s="20">
        <f>IF(A170="","",ROUNDUP(A170/12,0))</f>
        <v>14</v>
      </c>
    </row>
    <row r="171" spans="1:9" x14ac:dyDescent="0.25">
      <c r="A171" s="20">
        <f>IF(H170="","",IF(H170&gt;0.005,A170+1,""))</f>
        <v>167</v>
      </c>
      <c r="B171" s="21">
        <f>IF(A171="","",EDATE('Calculator'!$B$7,A171-1))</f>
        <v>51455</v>
      </c>
      <c r="C171" s="22">
        <f>IF(A171="","",H170)</f>
        <v>227319.1</v>
      </c>
      <c r="D171" s="22">
        <f>IF(A171="","",MIN('Calculator'!$B$10,C171+E171))</f>
        <v>1896.21</v>
      </c>
      <c r="E171" s="22">
        <f>IF(A171="","",ROUND(C171*'Calculator'!$B$5/12,2))</f>
        <v>1231.31</v>
      </c>
      <c r="F171" s="22">
        <f>IF(A171="","",D171-E171)</f>
        <v>664.9</v>
      </c>
      <c r="G171" s="22">
        <f>IF(A171="","",MAX(0,MIN(N('Calculator'!$B$8),C171-F171)))</f>
        <v>0</v>
      </c>
      <c r="H171" s="23">
        <f>IF(A171="","",ROUND(C171-F171-G171,2))</f>
        <v>226654.2</v>
      </c>
      <c r="I171" s="20">
        <f>IF(A171="","",ROUNDUP(A171/12,0))</f>
        <v>14</v>
      </c>
    </row>
    <row r="172" spans="1:9" x14ac:dyDescent="0.25">
      <c r="A172" s="20">
        <f>IF(H171="","",IF(H171&gt;0.005,A171+1,""))</f>
        <v>168</v>
      </c>
      <c r="B172" s="21">
        <f>IF(A172="","",EDATE('Calculator'!$B$7,A172-1))</f>
        <v>51485</v>
      </c>
      <c r="C172" s="22">
        <f>IF(A172="","",H171)</f>
        <v>226654.2</v>
      </c>
      <c r="D172" s="22">
        <f>IF(A172="","",MIN('Calculator'!$B$10,C172+E172))</f>
        <v>1896.21</v>
      </c>
      <c r="E172" s="22">
        <f>IF(A172="","",ROUND(C172*'Calculator'!$B$5/12,2))</f>
        <v>1227.71</v>
      </c>
      <c r="F172" s="22">
        <f>IF(A172="","",D172-E172)</f>
        <v>668.5</v>
      </c>
      <c r="G172" s="22">
        <f>IF(A172="","",MAX(0,MIN(N('Calculator'!$B$8),C172-F172)))</f>
        <v>0</v>
      </c>
      <c r="H172" s="23">
        <f>IF(A172="","",ROUND(C172-F172-G172,2))</f>
        <v>225985.7</v>
      </c>
      <c r="I172" s="20">
        <f>IF(A172="","",ROUNDUP(A172/12,0))</f>
        <v>14</v>
      </c>
    </row>
    <row r="173" spans="1:9" x14ac:dyDescent="0.25">
      <c r="A173" s="20">
        <f>IF(H172="","",IF(H172&gt;0.005,A172+1,""))</f>
        <v>169</v>
      </c>
      <c r="B173" s="21">
        <f>IF(A173="","",EDATE('Calculator'!$B$7,A173-1))</f>
        <v>51516</v>
      </c>
      <c r="C173" s="22">
        <f>IF(A173="","",H172)</f>
        <v>225985.7</v>
      </c>
      <c r="D173" s="22">
        <f>IF(A173="","",MIN('Calculator'!$B$10,C173+E173))</f>
        <v>1896.21</v>
      </c>
      <c r="E173" s="22">
        <f>IF(A173="","",ROUND(C173*'Calculator'!$B$5/12,2))</f>
        <v>1224.09</v>
      </c>
      <c r="F173" s="22">
        <f>IF(A173="","",D173-E173)</f>
        <v>672.12</v>
      </c>
      <c r="G173" s="22">
        <f>IF(A173="","",MAX(0,MIN(N('Calculator'!$B$8),C173-F173)))</f>
        <v>0</v>
      </c>
      <c r="H173" s="23">
        <f>IF(A173="","",ROUND(C173-F173-G173,2))</f>
        <v>225313.58</v>
      </c>
      <c r="I173" s="20">
        <f>IF(A173="","",ROUNDUP(A173/12,0))</f>
        <v>15</v>
      </c>
    </row>
    <row r="174" spans="1:9" x14ac:dyDescent="0.25">
      <c r="A174" s="20">
        <f>IF(H173="","",IF(H173&gt;0.005,A173+1,""))</f>
        <v>170</v>
      </c>
      <c r="B174" s="21">
        <f>IF(A174="","",EDATE('Calculator'!$B$7,A174-1))</f>
        <v>51547</v>
      </c>
      <c r="C174" s="22">
        <f>IF(A174="","",H173)</f>
        <v>225313.58</v>
      </c>
      <c r="D174" s="22">
        <f>IF(A174="","",MIN('Calculator'!$B$10,C174+E174))</f>
        <v>1896.21</v>
      </c>
      <c r="E174" s="22">
        <f>IF(A174="","",ROUND(C174*'Calculator'!$B$5/12,2))</f>
        <v>1220.45</v>
      </c>
      <c r="F174" s="22">
        <f>IF(A174="","",D174-E174)</f>
        <v>675.76</v>
      </c>
      <c r="G174" s="22">
        <f>IF(A174="","",MAX(0,MIN(N('Calculator'!$B$8),C174-F174)))</f>
        <v>0</v>
      </c>
      <c r="H174" s="23">
        <f>IF(A174="","",ROUND(C174-F174-G174,2))</f>
        <v>224637.82</v>
      </c>
      <c r="I174" s="20">
        <f>IF(A174="","",ROUNDUP(A174/12,0))</f>
        <v>15</v>
      </c>
    </row>
    <row r="175" spans="1:9" x14ac:dyDescent="0.25">
      <c r="A175" s="20">
        <f>IF(H174="","",IF(H174&gt;0.005,A174+1,""))</f>
        <v>171</v>
      </c>
      <c r="B175" s="21">
        <f>IF(A175="","",EDATE('Calculator'!$B$7,A175-1))</f>
        <v>51575</v>
      </c>
      <c r="C175" s="22">
        <f>IF(A175="","",H174)</f>
        <v>224637.82</v>
      </c>
      <c r="D175" s="22">
        <f>IF(A175="","",MIN('Calculator'!$B$10,C175+E175))</f>
        <v>1896.21</v>
      </c>
      <c r="E175" s="22">
        <f>IF(A175="","",ROUND(C175*'Calculator'!$B$5/12,2))</f>
        <v>1216.79</v>
      </c>
      <c r="F175" s="22">
        <f>IF(A175="","",D175-E175)</f>
        <v>679.42</v>
      </c>
      <c r="G175" s="22">
        <f>IF(A175="","",MAX(0,MIN(N('Calculator'!$B$8),C175-F175)))</f>
        <v>0</v>
      </c>
      <c r="H175" s="23">
        <f>IF(A175="","",ROUND(C175-F175-G175,2))</f>
        <v>223958.4</v>
      </c>
      <c r="I175" s="20">
        <f>IF(A175="","",ROUNDUP(A175/12,0))</f>
        <v>15</v>
      </c>
    </row>
    <row r="176" spans="1:9" x14ac:dyDescent="0.25">
      <c r="A176" s="20">
        <f>IF(H175="","",IF(H175&gt;0.005,A175+1,""))</f>
        <v>172</v>
      </c>
      <c r="B176" s="21">
        <f>IF(A176="","",EDATE('Calculator'!$B$7,A176-1))</f>
        <v>51606</v>
      </c>
      <c r="C176" s="22">
        <f>IF(A176="","",H175)</f>
        <v>223958.4</v>
      </c>
      <c r="D176" s="22">
        <f>IF(A176="","",MIN('Calculator'!$B$10,C176+E176))</f>
        <v>1896.21</v>
      </c>
      <c r="E176" s="22">
        <f>IF(A176="","",ROUND(C176*'Calculator'!$B$5/12,2))</f>
        <v>1213.11</v>
      </c>
      <c r="F176" s="22">
        <f>IF(A176="","",D176-E176)</f>
        <v>683.1</v>
      </c>
      <c r="G176" s="22">
        <f>IF(A176="","",MAX(0,MIN(N('Calculator'!$B$8),C176-F176)))</f>
        <v>0</v>
      </c>
      <c r="H176" s="23">
        <f>IF(A176="","",ROUND(C176-F176-G176,2))</f>
        <v>223275.3</v>
      </c>
      <c r="I176" s="20">
        <f>IF(A176="","",ROUNDUP(A176/12,0))</f>
        <v>15</v>
      </c>
    </row>
    <row r="177" spans="1:9" x14ac:dyDescent="0.25">
      <c r="A177" s="20">
        <f>IF(H176="","",IF(H176&gt;0.005,A176+1,""))</f>
        <v>173</v>
      </c>
      <c r="B177" s="21">
        <f>IF(A177="","",EDATE('Calculator'!$B$7,A177-1))</f>
        <v>51636</v>
      </c>
      <c r="C177" s="22">
        <f>IF(A177="","",H176)</f>
        <v>223275.3</v>
      </c>
      <c r="D177" s="22">
        <f>IF(A177="","",MIN('Calculator'!$B$10,C177+E177))</f>
        <v>1896.21</v>
      </c>
      <c r="E177" s="22">
        <f>IF(A177="","",ROUND(C177*'Calculator'!$B$5/12,2))</f>
        <v>1209.41</v>
      </c>
      <c r="F177" s="22">
        <f>IF(A177="","",D177-E177)</f>
        <v>686.8</v>
      </c>
      <c r="G177" s="22">
        <f>IF(A177="","",MAX(0,MIN(N('Calculator'!$B$8),C177-F177)))</f>
        <v>0</v>
      </c>
      <c r="H177" s="23">
        <f>IF(A177="","",ROUND(C177-F177-G177,2))</f>
        <v>222588.5</v>
      </c>
      <c r="I177" s="20">
        <f>IF(A177="","",ROUNDUP(A177/12,0))</f>
        <v>15</v>
      </c>
    </row>
    <row r="178" spans="1:9" x14ac:dyDescent="0.25">
      <c r="A178" s="20">
        <f>IF(H177="","",IF(H177&gt;0.005,A177+1,""))</f>
        <v>174</v>
      </c>
      <c r="B178" s="21">
        <f>IF(A178="","",EDATE('Calculator'!$B$7,A178-1))</f>
        <v>51667</v>
      </c>
      <c r="C178" s="22">
        <f>IF(A178="","",H177)</f>
        <v>222588.5</v>
      </c>
      <c r="D178" s="22">
        <f>IF(A178="","",MIN('Calculator'!$B$10,C178+E178))</f>
        <v>1896.21</v>
      </c>
      <c r="E178" s="22">
        <f>IF(A178="","",ROUND(C178*'Calculator'!$B$5/12,2))</f>
        <v>1205.69</v>
      </c>
      <c r="F178" s="22">
        <f>IF(A178="","",D178-E178)</f>
        <v>690.52</v>
      </c>
      <c r="G178" s="22">
        <f>IF(A178="","",MAX(0,MIN(N('Calculator'!$B$8),C178-F178)))</f>
        <v>0</v>
      </c>
      <c r="H178" s="23">
        <f>IF(A178="","",ROUND(C178-F178-G178,2))</f>
        <v>221897.98</v>
      </c>
      <c r="I178" s="20">
        <f>IF(A178="","",ROUNDUP(A178/12,0))</f>
        <v>15</v>
      </c>
    </row>
    <row r="179" spans="1:9" x14ac:dyDescent="0.25">
      <c r="A179" s="20">
        <f>IF(H178="","",IF(H178&gt;0.005,A178+1,""))</f>
        <v>175</v>
      </c>
      <c r="B179" s="21">
        <f>IF(A179="","",EDATE('Calculator'!$B$7,A179-1))</f>
        <v>51697</v>
      </c>
      <c r="C179" s="22">
        <f>IF(A179="","",H178)</f>
        <v>221897.98</v>
      </c>
      <c r="D179" s="22">
        <f>IF(A179="","",MIN('Calculator'!$B$10,C179+E179))</f>
        <v>1896.21</v>
      </c>
      <c r="E179" s="22">
        <f>IF(A179="","",ROUND(C179*'Calculator'!$B$5/12,2))</f>
        <v>1201.95</v>
      </c>
      <c r="F179" s="22">
        <f>IF(A179="","",D179-E179)</f>
        <v>694.26</v>
      </c>
      <c r="G179" s="22">
        <f>IF(A179="","",MAX(0,MIN(N('Calculator'!$B$8),C179-F179)))</f>
        <v>0</v>
      </c>
      <c r="H179" s="23">
        <f>IF(A179="","",ROUND(C179-F179-G179,2))</f>
        <v>221203.72</v>
      </c>
      <c r="I179" s="20">
        <f>IF(A179="","",ROUNDUP(A179/12,0))</f>
        <v>15</v>
      </c>
    </row>
    <row r="180" spans="1:9" x14ac:dyDescent="0.25">
      <c r="A180" s="20">
        <f>IF(H179="","",IF(H179&gt;0.005,A179+1,""))</f>
        <v>176</v>
      </c>
      <c r="B180" s="21">
        <f>IF(A180="","",EDATE('Calculator'!$B$7,A180-1))</f>
        <v>51728</v>
      </c>
      <c r="C180" s="22">
        <f>IF(A180="","",H179)</f>
        <v>221203.72</v>
      </c>
      <c r="D180" s="22">
        <f>IF(A180="","",MIN('Calculator'!$B$10,C180+E180))</f>
        <v>1896.21</v>
      </c>
      <c r="E180" s="22">
        <f>IF(A180="","",ROUND(C180*'Calculator'!$B$5/12,2))</f>
        <v>1198.19</v>
      </c>
      <c r="F180" s="22">
        <f>IF(A180="","",D180-E180)</f>
        <v>698.02</v>
      </c>
      <c r="G180" s="22">
        <f>IF(A180="","",MAX(0,MIN(N('Calculator'!$B$8),C180-F180)))</f>
        <v>0</v>
      </c>
      <c r="H180" s="23">
        <f>IF(A180="","",ROUND(C180-F180-G180,2))</f>
        <v>220505.7</v>
      </c>
      <c r="I180" s="20">
        <f>IF(A180="","",ROUNDUP(A180/12,0))</f>
        <v>15</v>
      </c>
    </row>
    <row r="181" spans="1:9" x14ac:dyDescent="0.25">
      <c r="A181" s="20">
        <f>IF(H180="","",IF(H180&gt;0.005,A180+1,""))</f>
        <v>177</v>
      </c>
      <c r="B181" s="21">
        <f>IF(A181="","",EDATE('Calculator'!$B$7,A181-1))</f>
        <v>51759</v>
      </c>
      <c r="C181" s="22">
        <f>IF(A181="","",H180)</f>
        <v>220505.7</v>
      </c>
      <c r="D181" s="22">
        <f>IF(A181="","",MIN('Calculator'!$B$10,C181+E181))</f>
        <v>1896.21</v>
      </c>
      <c r="E181" s="22">
        <f>IF(A181="","",ROUND(C181*'Calculator'!$B$5/12,2))</f>
        <v>1194.41</v>
      </c>
      <c r="F181" s="22">
        <f>IF(A181="","",D181-E181)</f>
        <v>701.8</v>
      </c>
      <c r="G181" s="22">
        <f>IF(A181="","",MAX(0,MIN(N('Calculator'!$B$8),C181-F181)))</f>
        <v>0</v>
      </c>
      <c r="H181" s="23">
        <f>IF(A181="","",ROUND(C181-F181-G181,2))</f>
        <v>219803.9</v>
      </c>
      <c r="I181" s="20">
        <f>IF(A181="","",ROUNDUP(A181/12,0))</f>
        <v>15</v>
      </c>
    </row>
    <row r="182" spans="1:9" x14ac:dyDescent="0.25">
      <c r="A182" s="20">
        <f>IF(H181="","",IF(H181&gt;0.005,A181+1,""))</f>
        <v>178</v>
      </c>
      <c r="B182" s="21">
        <f>IF(A182="","",EDATE('Calculator'!$B$7,A182-1))</f>
        <v>51789</v>
      </c>
      <c r="C182" s="22">
        <f>IF(A182="","",H181)</f>
        <v>219803.9</v>
      </c>
      <c r="D182" s="22">
        <f>IF(A182="","",MIN('Calculator'!$B$10,C182+E182))</f>
        <v>1896.21</v>
      </c>
      <c r="E182" s="22">
        <f>IF(A182="","",ROUND(C182*'Calculator'!$B$5/12,2))</f>
        <v>1190.6</v>
      </c>
      <c r="F182" s="22">
        <f>IF(A182="","",D182-E182)</f>
        <v>705.61</v>
      </c>
      <c r="G182" s="22">
        <f>IF(A182="","",MAX(0,MIN(N('Calculator'!$B$8),C182-F182)))</f>
        <v>0</v>
      </c>
      <c r="H182" s="23">
        <f>IF(A182="","",ROUND(C182-F182-G182,2))</f>
        <v>219098.29</v>
      </c>
      <c r="I182" s="20">
        <f>IF(A182="","",ROUNDUP(A182/12,0))</f>
        <v>15</v>
      </c>
    </row>
    <row r="183" spans="1:9" x14ac:dyDescent="0.25">
      <c r="A183" s="20">
        <f>IF(H182="","",IF(H182&gt;0.005,A182+1,""))</f>
        <v>179</v>
      </c>
      <c r="B183" s="21">
        <f>IF(A183="","",EDATE('Calculator'!$B$7,A183-1))</f>
        <v>51820</v>
      </c>
      <c r="C183" s="22">
        <f>IF(A183="","",H182)</f>
        <v>219098.29</v>
      </c>
      <c r="D183" s="22">
        <f>IF(A183="","",MIN('Calculator'!$B$10,C183+E183))</f>
        <v>1896.21</v>
      </c>
      <c r="E183" s="22">
        <f>IF(A183="","",ROUND(C183*'Calculator'!$B$5/12,2))</f>
        <v>1186.78</v>
      </c>
      <c r="F183" s="22">
        <f>IF(A183="","",D183-E183)</f>
        <v>709.43</v>
      </c>
      <c r="G183" s="22">
        <f>IF(A183="","",MAX(0,MIN(N('Calculator'!$B$8),C183-F183)))</f>
        <v>0</v>
      </c>
      <c r="H183" s="23">
        <f>IF(A183="","",ROUND(C183-F183-G183,2))</f>
        <v>218388.86</v>
      </c>
      <c r="I183" s="20">
        <f>IF(A183="","",ROUNDUP(A183/12,0))</f>
        <v>15</v>
      </c>
    </row>
    <row r="184" spans="1:9" x14ac:dyDescent="0.25">
      <c r="A184" s="20">
        <f>IF(H183="","",IF(H183&gt;0.005,A183+1,""))</f>
        <v>180</v>
      </c>
      <c r="B184" s="21">
        <f>IF(A184="","",EDATE('Calculator'!$B$7,A184-1))</f>
        <v>51850</v>
      </c>
      <c r="C184" s="22">
        <f>IF(A184="","",H183)</f>
        <v>218388.86</v>
      </c>
      <c r="D184" s="22">
        <f>IF(A184="","",MIN('Calculator'!$B$10,C184+E184))</f>
        <v>1896.21</v>
      </c>
      <c r="E184" s="22">
        <f>IF(A184="","",ROUND(C184*'Calculator'!$B$5/12,2))</f>
        <v>1182.94</v>
      </c>
      <c r="F184" s="22">
        <f>IF(A184="","",D184-E184)</f>
        <v>713.27</v>
      </c>
      <c r="G184" s="22">
        <f>IF(A184="","",MAX(0,MIN(N('Calculator'!$B$8),C184-F184)))</f>
        <v>0</v>
      </c>
      <c r="H184" s="23">
        <f>IF(A184="","",ROUND(C184-F184-G184,2))</f>
        <v>217675.59</v>
      </c>
      <c r="I184" s="20">
        <f>IF(A184="","",ROUNDUP(A184/12,0))</f>
        <v>15</v>
      </c>
    </row>
    <row r="185" spans="1:9" x14ac:dyDescent="0.25">
      <c r="A185" s="20">
        <f>IF(H184="","",IF(H184&gt;0.005,A184+1,""))</f>
        <v>181</v>
      </c>
      <c r="B185" s="21">
        <f>IF(A185="","",EDATE('Calculator'!$B$7,A185-1))</f>
        <v>51881</v>
      </c>
      <c r="C185" s="22">
        <f>IF(A185="","",H184)</f>
        <v>217675.59</v>
      </c>
      <c r="D185" s="22">
        <f>IF(A185="","",MIN('Calculator'!$B$10,C185+E185))</f>
        <v>1896.21</v>
      </c>
      <c r="E185" s="22">
        <f>IF(A185="","",ROUND(C185*'Calculator'!$B$5/12,2))</f>
        <v>1179.08</v>
      </c>
      <c r="F185" s="22">
        <f>IF(A185="","",D185-E185)</f>
        <v>717.13</v>
      </c>
      <c r="G185" s="22">
        <f>IF(A185="","",MAX(0,MIN(N('Calculator'!$B$8),C185-F185)))</f>
        <v>0</v>
      </c>
      <c r="H185" s="23">
        <f>IF(A185="","",ROUND(C185-F185-G185,2))</f>
        <v>216958.46</v>
      </c>
      <c r="I185" s="20">
        <f>IF(A185="","",ROUNDUP(A185/12,0))</f>
        <v>16</v>
      </c>
    </row>
    <row r="186" spans="1:9" x14ac:dyDescent="0.25">
      <c r="A186" s="20">
        <f>IF(H185="","",IF(H185&gt;0.005,A185+1,""))</f>
        <v>182</v>
      </c>
      <c r="B186" s="21">
        <f>IF(A186="","",EDATE('Calculator'!$B$7,A186-1))</f>
        <v>51912</v>
      </c>
      <c r="C186" s="22">
        <f>IF(A186="","",H185)</f>
        <v>216958.46</v>
      </c>
      <c r="D186" s="22">
        <f>IF(A186="","",MIN('Calculator'!$B$10,C186+E186))</f>
        <v>1896.21</v>
      </c>
      <c r="E186" s="22">
        <f>IF(A186="","",ROUND(C186*'Calculator'!$B$5/12,2))</f>
        <v>1175.19</v>
      </c>
      <c r="F186" s="22">
        <f>IF(A186="","",D186-E186)</f>
        <v>721.02</v>
      </c>
      <c r="G186" s="22">
        <f>IF(A186="","",MAX(0,MIN(N('Calculator'!$B$8),C186-F186)))</f>
        <v>0</v>
      </c>
      <c r="H186" s="23">
        <f>IF(A186="","",ROUND(C186-F186-G186,2))</f>
        <v>216237.44</v>
      </c>
      <c r="I186" s="20">
        <f>IF(A186="","",ROUNDUP(A186/12,0))</f>
        <v>16</v>
      </c>
    </row>
    <row r="187" spans="1:9" x14ac:dyDescent="0.25">
      <c r="A187" s="20">
        <f>IF(H186="","",IF(H186&gt;0.005,A186+1,""))</f>
        <v>183</v>
      </c>
      <c r="B187" s="21">
        <f>IF(A187="","",EDATE('Calculator'!$B$7,A187-1))</f>
        <v>51940</v>
      </c>
      <c r="C187" s="22">
        <f>IF(A187="","",H186)</f>
        <v>216237.44</v>
      </c>
      <c r="D187" s="22">
        <f>IF(A187="","",MIN('Calculator'!$B$10,C187+E187))</f>
        <v>1896.21</v>
      </c>
      <c r="E187" s="22">
        <f>IF(A187="","",ROUND(C187*'Calculator'!$B$5/12,2))</f>
        <v>1171.29</v>
      </c>
      <c r="F187" s="22">
        <f>IF(A187="","",D187-E187)</f>
        <v>724.92</v>
      </c>
      <c r="G187" s="22">
        <f>IF(A187="","",MAX(0,MIN(N('Calculator'!$B$8),C187-F187)))</f>
        <v>0</v>
      </c>
      <c r="H187" s="23">
        <f>IF(A187="","",ROUND(C187-F187-G187,2))</f>
        <v>215512.52</v>
      </c>
      <c r="I187" s="20">
        <f>IF(A187="","",ROUNDUP(A187/12,0))</f>
        <v>16</v>
      </c>
    </row>
    <row r="188" spans="1:9" x14ac:dyDescent="0.25">
      <c r="A188" s="20">
        <f>IF(H187="","",IF(H187&gt;0.005,A187+1,""))</f>
        <v>184</v>
      </c>
      <c r="B188" s="21">
        <f>IF(A188="","",EDATE('Calculator'!$B$7,A188-1))</f>
        <v>51971</v>
      </c>
      <c r="C188" s="22">
        <f>IF(A188="","",H187)</f>
        <v>215512.52</v>
      </c>
      <c r="D188" s="22">
        <f>IF(A188="","",MIN('Calculator'!$B$10,C188+E188))</f>
        <v>1896.21</v>
      </c>
      <c r="E188" s="22">
        <f>IF(A188="","",ROUND(C188*'Calculator'!$B$5/12,2))</f>
        <v>1167.36</v>
      </c>
      <c r="F188" s="22">
        <f>IF(A188="","",D188-E188)</f>
        <v>728.85</v>
      </c>
      <c r="G188" s="22">
        <f>IF(A188="","",MAX(0,MIN(N('Calculator'!$B$8),C188-F188)))</f>
        <v>0</v>
      </c>
      <c r="H188" s="23">
        <f>IF(A188="","",ROUND(C188-F188-G188,2))</f>
        <v>214783.67</v>
      </c>
      <c r="I188" s="20">
        <f>IF(A188="","",ROUNDUP(A188/12,0))</f>
        <v>16</v>
      </c>
    </row>
    <row r="189" spans="1:9" x14ac:dyDescent="0.25">
      <c r="A189" s="20">
        <f>IF(H188="","",IF(H188&gt;0.005,A188+1,""))</f>
        <v>185</v>
      </c>
      <c r="B189" s="21">
        <f>IF(A189="","",EDATE('Calculator'!$B$7,A189-1))</f>
        <v>52001</v>
      </c>
      <c r="C189" s="22">
        <f>IF(A189="","",H188)</f>
        <v>214783.67</v>
      </c>
      <c r="D189" s="22">
        <f>IF(A189="","",MIN('Calculator'!$B$10,C189+E189))</f>
        <v>1896.21</v>
      </c>
      <c r="E189" s="22">
        <f>IF(A189="","",ROUND(C189*'Calculator'!$B$5/12,2))</f>
        <v>1163.41</v>
      </c>
      <c r="F189" s="22">
        <f>IF(A189="","",D189-E189)</f>
        <v>732.8</v>
      </c>
      <c r="G189" s="22">
        <f>IF(A189="","",MAX(0,MIN(N('Calculator'!$B$8),C189-F189)))</f>
        <v>0</v>
      </c>
      <c r="H189" s="23">
        <f>IF(A189="","",ROUND(C189-F189-G189,2))</f>
        <v>214050.87</v>
      </c>
      <c r="I189" s="20">
        <f>IF(A189="","",ROUNDUP(A189/12,0))</f>
        <v>16</v>
      </c>
    </row>
    <row r="190" spans="1:9" x14ac:dyDescent="0.25">
      <c r="A190" s="20">
        <f>IF(H189="","",IF(H189&gt;0.005,A189+1,""))</f>
        <v>186</v>
      </c>
      <c r="B190" s="21">
        <f>IF(A190="","",EDATE('Calculator'!$B$7,A190-1))</f>
        <v>52032</v>
      </c>
      <c r="C190" s="22">
        <f>IF(A190="","",H189)</f>
        <v>214050.87</v>
      </c>
      <c r="D190" s="22">
        <f>IF(A190="","",MIN('Calculator'!$B$10,C190+E190))</f>
        <v>1896.21</v>
      </c>
      <c r="E190" s="22">
        <f>IF(A190="","",ROUND(C190*'Calculator'!$B$5/12,2))</f>
        <v>1159.44</v>
      </c>
      <c r="F190" s="22">
        <f>IF(A190="","",D190-E190)</f>
        <v>736.77</v>
      </c>
      <c r="G190" s="22">
        <f>IF(A190="","",MAX(0,MIN(N('Calculator'!$B$8),C190-F190)))</f>
        <v>0</v>
      </c>
      <c r="H190" s="23">
        <f>IF(A190="","",ROUND(C190-F190-G190,2))</f>
        <v>213314.1</v>
      </c>
      <c r="I190" s="20">
        <f>IF(A190="","",ROUNDUP(A190/12,0))</f>
        <v>16</v>
      </c>
    </row>
    <row r="191" spans="1:9" x14ac:dyDescent="0.25">
      <c r="A191" s="20">
        <f>IF(H190="","",IF(H190&gt;0.005,A190+1,""))</f>
        <v>187</v>
      </c>
      <c r="B191" s="21">
        <f>IF(A191="","",EDATE('Calculator'!$B$7,A191-1))</f>
        <v>52062</v>
      </c>
      <c r="C191" s="22">
        <f>IF(A191="","",H190)</f>
        <v>213314.1</v>
      </c>
      <c r="D191" s="22">
        <f>IF(A191="","",MIN('Calculator'!$B$10,C191+E191))</f>
        <v>1896.21</v>
      </c>
      <c r="E191" s="22">
        <f>IF(A191="","",ROUND(C191*'Calculator'!$B$5/12,2))</f>
        <v>1155.45</v>
      </c>
      <c r="F191" s="22">
        <f>IF(A191="","",D191-E191)</f>
        <v>740.76</v>
      </c>
      <c r="G191" s="22">
        <f>IF(A191="","",MAX(0,MIN(N('Calculator'!$B$8),C191-F191)))</f>
        <v>0</v>
      </c>
      <c r="H191" s="23">
        <f>IF(A191="","",ROUND(C191-F191-G191,2))</f>
        <v>212573.34</v>
      </c>
      <c r="I191" s="20">
        <f>IF(A191="","",ROUNDUP(A191/12,0))</f>
        <v>16</v>
      </c>
    </row>
    <row r="192" spans="1:9" x14ac:dyDescent="0.25">
      <c r="A192" s="20">
        <f>IF(H191="","",IF(H191&gt;0.005,A191+1,""))</f>
        <v>188</v>
      </c>
      <c r="B192" s="21">
        <f>IF(A192="","",EDATE('Calculator'!$B$7,A192-1))</f>
        <v>52093</v>
      </c>
      <c r="C192" s="22">
        <f>IF(A192="","",H191)</f>
        <v>212573.34</v>
      </c>
      <c r="D192" s="22">
        <f>IF(A192="","",MIN('Calculator'!$B$10,C192+E192))</f>
        <v>1896.21</v>
      </c>
      <c r="E192" s="22">
        <f>IF(A192="","",ROUND(C192*'Calculator'!$B$5/12,2))</f>
        <v>1151.44</v>
      </c>
      <c r="F192" s="22">
        <f>IF(A192="","",D192-E192)</f>
        <v>744.77</v>
      </c>
      <c r="G192" s="22">
        <f>IF(A192="","",MAX(0,MIN(N('Calculator'!$B$8),C192-F192)))</f>
        <v>0</v>
      </c>
      <c r="H192" s="23">
        <f>IF(A192="","",ROUND(C192-F192-G192,2))</f>
        <v>211828.57</v>
      </c>
      <c r="I192" s="20">
        <f>IF(A192="","",ROUNDUP(A192/12,0))</f>
        <v>16</v>
      </c>
    </row>
    <row r="193" spans="1:9" x14ac:dyDescent="0.25">
      <c r="A193" s="20">
        <f>IF(H192="","",IF(H192&gt;0.005,A192+1,""))</f>
        <v>189</v>
      </c>
      <c r="B193" s="21">
        <f>IF(A193="","",EDATE('Calculator'!$B$7,A193-1))</f>
        <v>52124</v>
      </c>
      <c r="C193" s="22">
        <f>IF(A193="","",H192)</f>
        <v>211828.57</v>
      </c>
      <c r="D193" s="22">
        <f>IF(A193="","",MIN('Calculator'!$B$10,C193+E193))</f>
        <v>1896.21</v>
      </c>
      <c r="E193" s="22">
        <f>IF(A193="","",ROUND(C193*'Calculator'!$B$5/12,2))</f>
        <v>1147.4</v>
      </c>
      <c r="F193" s="22">
        <f>IF(A193="","",D193-E193)</f>
        <v>748.81</v>
      </c>
      <c r="G193" s="22">
        <f>IF(A193="","",MAX(0,MIN(N('Calculator'!$B$8),C193-F193)))</f>
        <v>0</v>
      </c>
      <c r="H193" s="23">
        <f>IF(A193="","",ROUND(C193-F193-G193,2))</f>
        <v>211079.76</v>
      </c>
      <c r="I193" s="20">
        <f>IF(A193="","",ROUNDUP(A193/12,0))</f>
        <v>16</v>
      </c>
    </row>
    <row r="194" spans="1:9" x14ac:dyDescent="0.25">
      <c r="A194" s="20">
        <f>IF(H193="","",IF(H193&gt;0.005,A193+1,""))</f>
        <v>190</v>
      </c>
      <c r="B194" s="21">
        <f>IF(A194="","",EDATE('Calculator'!$B$7,A194-1))</f>
        <v>52154</v>
      </c>
      <c r="C194" s="22">
        <f>IF(A194="","",H193)</f>
        <v>211079.76</v>
      </c>
      <c r="D194" s="22">
        <f>IF(A194="","",MIN('Calculator'!$B$10,C194+E194))</f>
        <v>1896.21</v>
      </c>
      <c r="E194" s="22">
        <f>IF(A194="","",ROUND(C194*'Calculator'!$B$5/12,2))</f>
        <v>1143.35</v>
      </c>
      <c r="F194" s="22">
        <f>IF(A194="","",D194-E194)</f>
        <v>752.86</v>
      </c>
      <c r="G194" s="22">
        <f>IF(A194="","",MAX(0,MIN(N('Calculator'!$B$8),C194-F194)))</f>
        <v>0</v>
      </c>
      <c r="H194" s="23">
        <f>IF(A194="","",ROUND(C194-F194-G194,2))</f>
        <v>210326.9</v>
      </c>
      <c r="I194" s="20">
        <f>IF(A194="","",ROUNDUP(A194/12,0))</f>
        <v>16</v>
      </c>
    </row>
    <row r="195" spans="1:9" x14ac:dyDescent="0.25">
      <c r="A195" s="20">
        <f>IF(H194="","",IF(H194&gt;0.005,A194+1,""))</f>
        <v>191</v>
      </c>
      <c r="B195" s="21">
        <f>IF(A195="","",EDATE('Calculator'!$B$7,A195-1))</f>
        <v>52185</v>
      </c>
      <c r="C195" s="22">
        <f>IF(A195="","",H194)</f>
        <v>210326.9</v>
      </c>
      <c r="D195" s="22">
        <f>IF(A195="","",MIN('Calculator'!$B$10,C195+E195))</f>
        <v>1896.21</v>
      </c>
      <c r="E195" s="22">
        <f>IF(A195="","",ROUND(C195*'Calculator'!$B$5/12,2))</f>
        <v>1139.27</v>
      </c>
      <c r="F195" s="22">
        <f>IF(A195="","",D195-E195)</f>
        <v>756.94</v>
      </c>
      <c r="G195" s="22">
        <f>IF(A195="","",MAX(0,MIN(N('Calculator'!$B$8),C195-F195)))</f>
        <v>0</v>
      </c>
      <c r="H195" s="23">
        <f>IF(A195="","",ROUND(C195-F195-G195,2))</f>
        <v>209569.96</v>
      </c>
      <c r="I195" s="20">
        <f>IF(A195="","",ROUNDUP(A195/12,0))</f>
        <v>16</v>
      </c>
    </row>
    <row r="196" spans="1:9" x14ac:dyDescent="0.25">
      <c r="A196" s="20">
        <f>IF(H195="","",IF(H195&gt;0.005,A195+1,""))</f>
        <v>192</v>
      </c>
      <c r="B196" s="21">
        <f>IF(A196="","",EDATE('Calculator'!$B$7,A196-1))</f>
        <v>52215</v>
      </c>
      <c r="C196" s="22">
        <f>IF(A196="","",H195)</f>
        <v>209569.96</v>
      </c>
      <c r="D196" s="22">
        <f>IF(A196="","",MIN('Calculator'!$B$10,C196+E196))</f>
        <v>1896.21</v>
      </c>
      <c r="E196" s="22">
        <f>IF(A196="","",ROUND(C196*'Calculator'!$B$5/12,2))</f>
        <v>1135.17</v>
      </c>
      <c r="F196" s="22">
        <f>IF(A196="","",D196-E196)</f>
        <v>761.04</v>
      </c>
      <c r="G196" s="22">
        <f>IF(A196="","",MAX(0,MIN(N('Calculator'!$B$8),C196-F196)))</f>
        <v>0</v>
      </c>
      <c r="H196" s="23">
        <f>IF(A196="","",ROUND(C196-F196-G196,2))</f>
        <v>208808.92</v>
      </c>
      <c r="I196" s="20">
        <f>IF(A196="","",ROUNDUP(A196/12,0))</f>
        <v>16</v>
      </c>
    </row>
    <row r="197" spans="1:9" x14ac:dyDescent="0.25">
      <c r="A197" s="20">
        <f>IF(H196="","",IF(H196&gt;0.005,A196+1,""))</f>
        <v>193</v>
      </c>
      <c r="B197" s="21">
        <f>IF(A197="","",EDATE('Calculator'!$B$7,A197-1))</f>
        <v>52246</v>
      </c>
      <c r="C197" s="22">
        <f>IF(A197="","",H196)</f>
        <v>208808.92</v>
      </c>
      <c r="D197" s="22">
        <f>IF(A197="","",MIN('Calculator'!$B$10,C197+E197))</f>
        <v>1896.21</v>
      </c>
      <c r="E197" s="22">
        <f>IF(A197="","",ROUND(C197*'Calculator'!$B$5/12,2))</f>
        <v>1131.05</v>
      </c>
      <c r="F197" s="22">
        <f>IF(A197="","",D197-E197)</f>
        <v>765.16</v>
      </c>
      <c r="G197" s="22">
        <f>IF(A197="","",MAX(0,MIN(N('Calculator'!$B$8),C197-F197)))</f>
        <v>0</v>
      </c>
      <c r="H197" s="23">
        <f>IF(A197="","",ROUND(C197-F197-G197,2))</f>
        <v>208043.76</v>
      </c>
      <c r="I197" s="20">
        <f>IF(A197="","",ROUNDUP(A197/12,0))</f>
        <v>17</v>
      </c>
    </row>
    <row r="198" spans="1:9" x14ac:dyDescent="0.25">
      <c r="A198" s="20">
        <f>IF(H197="","",IF(H197&gt;0.005,A197+1,""))</f>
        <v>194</v>
      </c>
      <c r="B198" s="21">
        <f>IF(A198="","",EDATE('Calculator'!$B$7,A198-1))</f>
        <v>52277</v>
      </c>
      <c r="C198" s="22">
        <f>IF(A198="","",H197)</f>
        <v>208043.76</v>
      </c>
      <c r="D198" s="22">
        <f>IF(A198="","",MIN('Calculator'!$B$10,C198+E198))</f>
        <v>1896.21</v>
      </c>
      <c r="E198" s="22">
        <f>IF(A198="","",ROUND(C198*'Calculator'!$B$5/12,2))</f>
        <v>1126.9</v>
      </c>
      <c r="F198" s="22">
        <f>IF(A198="","",D198-E198)</f>
        <v>769.31</v>
      </c>
      <c r="G198" s="22">
        <f>IF(A198="","",MAX(0,MIN(N('Calculator'!$B$8),C198-F198)))</f>
        <v>0</v>
      </c>
      <c r="H198" s="23">
        <f>IF(A198="","",ROUND(C198-F198-G198,2))</f>
        <v>207274.45</v>
      </c>
      <c r="I198" s="20">
        <f>IF(A198="","",ROUNDUP(A198/12,0))</f>
        <v>17</v>
      </c>
    </row>
    <row r="199" spans="1:9" x14ac:dyDescent="0.25">
      <c r="A199" s="20">
        <f>IF(H198="","",IF(H198&gt;0.005,A198+1,""))</f>
        <v>195</v>
      </c>
      <c r="B199" s="21">
        <f>IF(A199="","",EDATE('Calculator'!$B$7,A199-1))</f>
        <v>52305</v>
      </c>
      <c r="C199" s="22">
        <f>IF(A199="","",H198)</f>
        <v>207274.45</v>
      </c>
      <c r="D199" s="22">
        <f>IF(A199="","",MIN('Calculator'!$B$10,C199+E199))</f>
        <v>1896.21</v>
      </c>
      <c r="E199" s="22">
        <f>IF(A199="","",ROUND(C199*'Calculator'!$B$5/12,2))</f>
        <v>1122.74</v>
      </c>
      <c r="F199" s="22">
        <f>IF(A199="","",D199-E199)</f>
        <v>773.47</v>
      </c>
      <c r="G199" s="22">
        <f>IF(A199="","",MAX(0,MIN(N('Calculator'!$B$8),C199-F199)))</f>
        <v>0</v>
      </c>
      <c r="H199" s="23">
        <f>IF(A199="","",ROUND(C199-F199-G199,2))</f>
        <v>206500.98</v>
      </c>
      <c r="I199" s="20">
        <f>IF(A199="","",ROUNDUP(A199/12,0))</f>
        <v>17</v>
      </c>
    </row>
    <row r="200" spans="1:9" x14ac:dyDescent="0.25">
      <c r="A200" s="20">
        <f>IF(H199="","",IF(H199&gt;0.005,A199+1,""))</f>
        <v>196</v>
      </c>
      <c r="B200" s="21">
        <f>IF(A200="","",EDATE('Calculator'!$B$7,A200-1))</f>
        <v>52336</v>
      </c>
      <c r="C200" s="22">
        <f>IF(A200="","",H199)</f>
        <v>206500.98</v>
      </c>
      <c r="D200" s="22">
        <f>IF(A200="","",MIN('Calculator'!$B$10,C200+E200))</f>
        <v>1896.21</v>
      </c>
      <c r="E200" s="22">
        <f>IF(A200="","",ROUND(C200*'Calculator'!$B$5/12,2))</f>
        <v>1118.55</v>
      </c>
      <c r="F200" s="22">
        <f>IF(A200="","",D200-E200)</f>
        <v>777.66</v>
      </c>
      <c r="G200" s="22">
        <f>IF(A200="","",MAX(0,MIN(N('Calculator'!$B$8),C200-F200)))</f>
        <v>0</v>
      </c>
      <c r="H200" s="23">
        <f>IF(A200="","",ROUND(C200-F200-G200,2))</f>
        <v>205723.32</v>
      </c>
      <c r="I200" s="20">
        <f>IF(A200="","",ROUNDUP(A200/12,0))</f>
        <v>17</v>
      </c>
    </row>
    <row r="201" spans="1:9" x14ac:dyDescent="0.25">
      <c r="A201" s="20">
        <f>IF(H200="","",IF(H200&gt;0.005,A200+1,""))</f>
        <v>197</v>
      </c>
      <c r="B201" s="21">
        <f>IF(A201="","",EDATE('Calculator'!$B$7,A201-1))</f>
        <v>52366</v>
      </c>
      <c r="C201" s="22">
        <f>IF(A201="","",H200)</f>
        <v>205723.32</v>
      </c>
      <c r="D201" s="22">
        <f>IF(A201="","",MIN('Calculator'!$B$10,C201+E201))</f>
        <v>1896.21</v>
      </c>
      <c r="E201" s="22">
        <f>IF(A201="","",ROUND(C201*'Calculator'!$B$5/12,2))</f>
        <v>1114.33</v>
      </c>
      <c r="F201" s="22">
        <f>IF(A201="","",D201-E201)</f>
        <v>781.88</v>
      </c>
      <c r="G201" s="22">
        <f>IF(A201="","",MAX(0,MIN(N('Calculator'!$B$8),C201-F201)))</f>
        <v>0</v>
      </c>
      <c r="H201" s="23">
        <f>IF(A201="","",ROUND(C201-F201-G201,2))</f>
        <v>204941.44</v>
      </c>
      <c r="I201" s="20">
        <f>IF(A201="","",ROUNDUP(A201/12,0))</f>
        <v>17</v>
      </c>
    </row>
    <row r="202" spans="1:9" x14ac:dyDescent="0.25">
      <c r="A202" s="20">
        <f>IF(H201="","",IF(H201&gt;0.005,A201+1,""))</f>
        <v>198</v>
      </c>
      <c r="B202" s="21">
        <f>IF(A202="","",EDATE('Calculator'!$B$7,A202-1))</f>
        <v>52397</v>
      </c>
      <c r="C202" s="22">
        <f>IF(A202="","",H201)</f>
        <v>204941.44</v>
      </c>
      <c r="D202" s="22">
        <f>IF(A202="","",MIN('Calculator'!$B$10,C202+E202))</f>
        <v>1896.21</v>
      </c>
      <c r="E202" s="22">
        <f>IF(A202="","",ROUND(C202*'Calculator'!$B$5/12,2))</f>
        <v>1110.1</v>
      </c>
      <c r="F202" s="22">
        <f>IF(A202="","",D202-E202)</f>
        <v>786.11</v>
      </c>
      <c r="G202" s="22">
        <f>IF(A202="","",MAX(0,MIN(N('Calculator'!$B$8),C202-F202)))</f>
        <v>0</v>
      </c>
      <c r="H202" s="23">
        <f>IF(A202="","",ROUND(C202-F202-G202,2))</f>
        <v>204155.33</v>
      </c>
      <c r="I202" s="20">
        <f>IF(A202="","",ROUNDUP(A202/12,0))</f>
        <v>17</v>
      </c>
    </row>
    <row r="203" spans="1:9" x14ac:dyDescent="0.25">
      <c r="A203" s="20">
        <f>IF(H202="","",IF(H202&gt;0.005,A202+1,""))</f>
        <v>199</v>
      </c>
      <c r="B203" s="21">
        <f>IF(A203="","",EDATE('Calculator'!$B$7,A203-1))</f>
        <v>52427</v>
      </c>
      <c r="C203" s="22">
        <f>IF(A203="","",H202)</f>
        <v>204155.33</v>
      </c>
      <c r="D203" s="22">
        <f>IF(A203="","",MIN('Calculator'!$B$10,C203+E203))</f>
        <v>1896.21</v>
      </c>
      <c r="E203" s="22">
        <f>IF(A203="","",ROUND(C203*'Calculator'!$B$5/12,2))</f>
        <v>1105.84</v>
      </c>
      <c r="F203" s="22">
        <f>IF(A203="","",D203-E203)</f>
        <v>790.37</v>
      </c>
      <c r="G203" s="22">
        <f>IF(A203="","",MAX(0,MIN(N('Calculator'!$B$8),C203-F203)))</f>
        <v>0</v>
      </c>
      <c r="H203" s="23">
        <f>IF(A203="","",ROUND(C203-F203-G203,2))</f>
        <v>203364.96</v>
      </c>
      <c r="I203" s="20">
        <f>IF(A203="","",ROUNDUP(A203/12,0))</f>
        <v>17</v>
      </c>
    </row>
    <row r="204" spans="1:9" x14ac:dyDescent="0.25">
      <c r="A204" s="20">
        <f>IF(H203="","",IF(H203&gt;0.005,A203+1,""))</f>
        <v>200</v>
      </c>
      <c r="B204" s="21">
        <f>IF(A204="","",EDATE('Calculator'!$B$7,A204-1))</f>
        <v>52458</v>
      </c>
      <c r="C204" s="22">
        <f>IF(A204="","",H203)</f>
        <v>203364.96</v>
      </c>
      <c r="D204" s="22">
        <f>IF(A204="","",MIN('Calculator'!$B$10,C204+E204))</f>
        <v>1896.21</v>
      </c>
      <c r="E204" s="22">
        <f>IF(A204="","",ROUND(C204*'Calculator'!$B$5/12,2))</f>
        <v>1101.56</v>
      </c>
      <c r="F204" s="22">
        <f>IF(A204="","",D204-E204)</f>
        <v>794.65</v>
      </c>
      <c r="G204" s="22">
        <f>IF(A204="","",MAX(0,MIN(N('Calculator'!$B$8),C204-F204)))</f>
        <v>0</v>
      </c>
      <c r="H204" s="23">
        <f>IF(A204="","",ROUND(C204-F204-G204,2))</f>
        <v>202570.31</v>
      </c>
      <c r="I204" s="20">
        <f>IF(A204="","",ROUNDUP(A204/12,0))</f>
        <v>17</v>
      </c>
    </row>
    <row r="205" spans="1:9" x14ac:dyDescent="0.25">
      <c r="A205" s="20">
        <f>IF(H204="","",IF(H204&gt;0.005,A204+1,""))</f>
        <v>201</v>
      </c>
      <c r="B205" s="21">
        <f>IF(A205="","",EDATE('Calculator'!$B$7,A205-1))</f>
        <v>52489</v>
      </c>
      <c r="C205" s="22">
        <f>IF(A205="","",H204)</f>
        <v>202570.31</v>
      </c>
      <c r="D205" s="22">
        <f>IF(A205="","",MIN('Calculator'!$B$10,C205+E205))</f>
        <v>1896.21</v>
      </c>
      <c r="E205" s="22">
        <f>IF(A205="","",ROUND(C205*'Calculator'!$B$5/12,2))</f>
        <v>1097.26</v>
      </c>
      <c r="F205" s="22">
        <f>IF(A205="","",D205-E205)</f>
        <v>798.95</v>
      </c>
      <c r="G205" s="22">
        <f>IF(A205="","",MAX(0,MIN(N('Calculator'!$B$8),C205-F205)))</f>
        <v>0</v>
      </c>
      <c r="H205" s="23">
        <f>IF(A205="","",ROUND(C205-F205-G205,2))</f>
        <v>201771.36</v>
      </c>
      <c r="I205" s="20">
        <f>IF(A205="","",ROUNDUP(A205/12,0))</f>
        <v>17</v>
      </c>
    </row>
    <row r="206" spans="1:9" x14ac:dyDescent="0.25">
      <c r="A206" s="20">
        <f>IF(H205="","",IF(H205&gt;0.005,A205+1,""))</f>
        <v>202</v>
      </c>
      <c r="B206" s="21">
        <f>IF(A206="","",EDATE('Calculator'!$B$7,A206-1))</f>
        <v>52519</v>
      </c>
      <c r="C206" s="22">
        <f>IF(A206="","",H205)</f>
        <v>201771.36</v>
      </c>
      <c r="D206" s="22">
        <f>IF(A206="","",MIN('Calculator'!$B$10,C206+E206))</f>
        <v>1896.21</v>
      </c>
      <c r="E206" s="22">
        <f>IF(A206="","",ROUND(C206*'Calculator'!$B$5/12,2))</f>
        <v>1092.93</v>
      </c>
      <c r="F206" s="22">
        <f>IF(A206="","",D206-E206)</f>
        <v>803.28</v>
      </c>
      <c r="G206" s="22">
        <f>IF(A206="","",MAX(0,MIN(N('Calculator'!$B$8),C206-F206)))</f>
        <v>0</v>
      </c>
      <c r="H206" s="23">
        <f>IF(A206="","",ROUND(C206-F206-G206,2))</f>
        <v>200968.08</v>
      </c>
      <c r="I206" s="20">
        <f>IF(A206="","",ROUNDUP(A206/12,0))</f>
        <v>17</v>
      </c>
    </row>
    <row r="207" spans="1:9" x14ac:dyDescent="0.25">
      <c r="A207" s="20">
        <f>IF(H206="","",IF(H206&gt;0.005,A206+1,""))</f>
        <v>203</v>
      </c>
      <c r="B207" s="21">
        <f>IF(A207="","",EDATE('Calculator'!$B$7,A207-1))</f>
        <v>52550</v>
      </c>
      <c r="C207" s="22">
        <f>IF(A207="","",H206)</f>
        <v>200968.08</v>
      </c>
      <c r="D207" s="22">
        <f>IF(A207="","",MIN('Calculator'!$B$10,C207+E207))</f>
        <v>1896.21</v>
      </c>
      <c r="E207" s="22">
        <f>IF(A207="","",ROUND(C207*'Calculator'!$B$5/12,2))</f>
        <v>1088.58</v>
      </c>
      <c r="F207" s="22">
        <f>IF(A207="","",D207-E207)</f>
        <v>807.63</v>
      </c>
      <c r="G207" s="22">
        <f>IF(A207="","",MAX(0,MIN(N('Calculator'!$B$8),C207-F207)))</f>
        <v>0</v>
      </c>
      <c r="H207" s="23">
        <f>IF(A207="","",ROUND(C207-F207-G207,2))</f>
        <v>200160.45</v>
      </c>
      <c r="I207" s="20">
        <f>IF(A207="","",ROUNDUP(A207/12,0))</f>
        <v>17</v>
      </c>
    </row>
    <row r="208" spans="1:9" x14ac:dyDescent="0.25">
      <c r="A208" s="20">
        <f>IF(H207="","",IF(H207&gt;0.005,A207+1,""))</f>
        <v>204</v>
      </c>
      <c r="B208" s="21">
        <f>IF(A208="","",EDATE('Calculator'!$B$7,A208-1))</f>
        <v>52580</v>
      </c>
      <c r="C208" s="22">
        <f>IF(A208="","",H207)</f>
        <v>200160.45</v>
      </c>
      <c r="D208" s="22">
        <f>IF(A208="","",MIN('Calculator'!$B$10,C208+E208))</f>
        <v>1896.21</v>
      </c>
      <c r="E208" s="22">
        <f>IF(A208="","",ROUND(C208*'Calculator'!$B$5/12,2))</f>
        <v>1084.2</v>
      </c>
      <c r="F208" s="22">
        <f>IF(A208="","",D208-E208)</f>
        <v>812.01</v>
      </c>
      <c r="G208" s="22">
        <f>IF(A208="","",MAX(0,MIN(N('Calculator'!$B$8),C208-F208)))</f>
        <v>0</v>
      </c>
      <c r="H208" s="23">
        <f>IF(A208="","",ROUND(C208-F208-G208,2))</f>
        <v>199348.44</v>
      </c>
      <c r="I208" s="20">
        <f>IF(A208="","",ROUNDUP(A208/12,0))</f>
        <v>17</v>
      </c>
    </row>
    <row r="209" spans="1:9" x14ac:dyDescent="0.25">
      <c r="A209" s="20">
        <f>IF(H208="","",IF(H208&gt;0.005,A208+1,""))</f>
        <v>205</v>
      </c>
      <c r="B209" s="21">
        <f>IF(A209="","",EDATE('Calculator'!$B$7,A209-1))</f>
        <v>52611</v>
      </c>
      <c r="C209" s="22">
        <f>IF(A209="","",H208)</f>
        <v>199348.44</v>
      </c>
      <c r="D209" s="22">
        <f>IF(A209="","",MIN('Calculator'!$B$10,C209+E209))</f>
        <v>1896.21</v>
      </c>
      <c r="E209" s="22">
        <f>IF(A209="","",ROUND(C209*'Calculator'!$B$5/12,2))</f>
        <v>1079.8</v>
      </c>
      <c r="F209" s="22">
        <f>IF(A209="","",D209-E209)</f>
        <v>816.41</v>
      </c>
      <c r="G209" s="22">
        <f>IF(A209="","",MAX(0,MIN(N('Calculator'!$B$8),C209-F209)))</f>
        <v>0</v>
      </c>
      <c r="H209" s="23">
        <f>IF(A209="","",ROUND(C209-F209-G209,2))</f>
        <v>198532.03</v>
      </c>
      <c r="I209" s="20">
        <f>IF(A209="","",ROUNDUP(A209/12,0))</f>
        <v>18</v>
      </c>
    </row>
    <row r="210" spans="1:9" x14ac:dyDescent="0.25">
      <c r="A210" s="20">
        <f>IF(H209="","",IF(H209&gt;0.005,A209+1,""))</f>
        <v>206</v>
      </c>
      <c r="B210" s="21">
        <f>IF(A210="","",EDATE('Calculator'!$B$7,A210-1))</f>
        <v>52642</v>
      </c>
      <c r="C210" s="22">
        <f>IF(A210="","",H209)</f>
        <v>198532.03</v>
      </c>
      <c r="D210" s="22">
        <f>IF(A210="","",MIN('Calculator'!$B$10,C210+E210))</f>
        <v>1896.21</v>
      </c>
      <c r="E210" s="22">
        <f>IF(A210="","",ROUND(C210*'Calculator'!$B$5/12,2))</f>
        <v>1075.38</v>
      </c>
      <c r="F210" s="22">
        <f>IF(A210="","",D210-E210)</f>
        <v>820.83</v>
      </c>
      <c r="G210" s="22">
        <f>IF(A210="","",MAX(0,MIN(N('Calculator'!$B$8),C210-F210)))</f>
        <v>0</v>
      </c>
      <c r="H210" s="23">
        <f>IF(A210="","",ROUND(C210-F210-G210,2))</f>
        <v>197711.2</v>
      </c>
      <c r="I210" s="20">
        <f>IF(A210="","",ROUNDUP(A210/12,0))</f>
        <v>18</v>
      </c>
    </row>
    <row r="211" spans="1:9" x14ac:dyDescent="0.25">
      <c r="A211" s="20">
        <f>IF(H210="","",IF(H210&gt;0.005,A210+1,""))</f>
        <v>207</v>
      </c>
      <c r="B211" s="21">
        <f>IF(A211="","",EDATE('Calculator'!$B$7,A211-1))</f>
        <v>52671</v>
      </c>
      <c r="C211" s="22">
        <f>IF(A211="","",H210)</f>
        <v>197711.2</v>
      </c>
      <c r="D211" s="22">
        <f>IF(A211="","",MIN('Calculator'!$B$10,C211+E211))</f>
        <v>1896.21</v>
      </c>
      <c r="E211" s="22">
        <f>IF(A211="","",ROUND(C211*'Calculator'!$B$5/12,2))</f>
        <v>1070.94</v>
      </c>
      <c r="F211" s="22">
        <f>IF(A211="","",D211-E211)</f>
        <v>825.27</v>
      </c>
      <c r="G211" s="22">
        <f>IF(A211="","",MAX(0,MIN(N('Calculator'!$B$8),C211-F211)))</f>
        <v>0</v>
      </c>
      <c r="H211" s="23">
        <f>IF(A211="","",ROUND(C211-F211-G211,2))</f>
        <v>196885.93</v>
      </c>
      <c r="I211" s="20">
        <f>IF(A211="","",ROUNDUP(A211/12,0))</f>
        <v>18</v>
      </c>
    </row>
    <row r="212" spans="1:9" x14ac:dyDescent="0.25">
      <c r="A212" s="20">
        <f>IF(H211="","",IF(H211&gt;0.005,A211+1,""))</f>
        <v>208</v>
      </c>
      <c r="B212" s="21">
        <f>IF(A212="","",EDATE('Calculator'!$B$7,A212-1))</f>
        <v>52702</v>
      </c>
      <c r="C212" s="22">
        <f>IF(A212="","",H211)</f>
        <v>196885.93</v>
      </c>
      <c r="D212" s="22">
        <f>IF(A212="","",MIN('Calculator'!$B$10,C212+E212))</f>
        <v>1896.21</v>
      </c>
      <c r="E212" s="22">
        <f>IF(A212="","",ROUND(C212*'Calculator'!$B$5/12,2))</f>
        <v>1066.47</v>
      </c>
      <c r="F212" s="22">
        <f>IF(A212="","",D212-E212)</f>
        <v>829.74</v>
      </c>
      <c r="G212" s="22">
        <f>IF(A212="","",MAX(0,MIN(N('Calculator'!$B$8),C212-F212)))</f>
        <v>0</v>
      </c>
      <c r="H212" s="23">
        <f>IF(A212="","",ROUND(C212-F212-G212,2))</f>
        <v>196056.19</v>
      </c>
      <c r="I212" s="20">
        <f>IF(A212="","",ROUNDUP(A212/12,0))</f>
        <v>18</v>
      </c>
    </row>
    <row r="213" spans="1:9" x14ac:dyDescent="0.25">
      <c r="A213" s="20">
        <f>IF(H212="","",IF(H212&gt;0.005,A212+1,""))</f>
        <v>209</v>
      </c>
      <c r="B213" s="21">
        <f>IF(A213="","",EDATE('Calculator'!$B$7,A213-1))</f>
        <v>52732</v>
      </c>
      <c r="C213" s="22">
        <f>IF(A213="","",H212)</f>
        <v>196056.19</v>
      </c>
      <c r="D213" s="22">
        <f>IF(A213="","",MIN('Calculator'!$B$10,C213+E213))</f>
        <v>1896.21</v>
      </c>
      <c r="E213" s="22">
        <f>IF(A213="","",ROUND(C213*'Calculator'!$B$5/12,2))</f>
        <v>1061.97</v>
      </c>
      <c r="F213" s="22">
        <f>IF(A213="","",D213-E213)</f>
        <v>834.24</v>
      </c>
      <c r="G213" s="22">
        <f>IF(A213="","",MAX(0,MIN(N('Calculator'!$B$8),C213-F213)))</f>
        <v>0</v>
      </c>
      <c r="H213" s="23">
        <f>IF(A213="","",ROUND(C213-F213-G213,2))</f>
        <v>195221.95</v>
      </c>
      <c r="I213" s="20">
        <f>IF(A213="","",ROUNDUP(A213/12,0))</f>
        <v>18</v>
      </c>
    </row>
    <row r="214" spans="1:9" x14ac:dyDescent="0.25">
      <c r="A214" s="20">
        <f>IF(H213="","",IF(H213&gt;0.005,A213+1,""))</f>
        <v>210</v>
      </c>
      <c r="B214" s="21">
        <f>IF(A214="","",EDATE('Calculator'!$B$7,A214-1))</f>
        <v>52763</v>
      </c>
      <c r="C214" s="22">
        <f>IF(A214="","",H213)</f>
        <v>195221.95</v>
      </c>
      <c r="D214" s="22">
        <f>IF(A214="","",MIN('Calculator'!$B$10,C214+E214))</f>
        <v>1896.21</v>
      </c>
      <c r="E214" s="22">
        <f>IF(A214="","",ROUND(C214*'Calculator'!$B$5/12,2))</f>
        <v>1057.45</v>
      </c>
      <c r="F214" s="22">
        <f>IF(A214="","",D214-E214)</f>
        <v>838.76</v>
      </c>
      <c r="G214" s="22">
        <f>IF(A214="","",MAX(0,MIN(N('Calculator'!$B$8),C214-F214)))</f>
        <v>0</v>
      </c>
      <c r="H214" s="23">
        <f>IF(A214="","",ROUND(C214-F214-G214,2))</f>
        <v>194383.19</v>
      </c>
      <c r="I214" s="20">
        <f>IF(A214="","",ROUNDUP(A214/12,0))</f>
        <v>18</v>
      </c>
    </row>
    <row r="215" spans="1:9" x14ac:dyDescent="0.25">
      <c r="A215" s="20">
        <f>IF(H214="","",IF(H214&gt;0.005,A214+1,""))</f>
        <v>211</v>
      </c>
      <c r="B215" s="21">
        <f>IF(A215="","",EDATE('Calculator'!$B$7,A215-1))</f>
        <v>52793</v>
      </c>
      <c r="C215" s="22">
        <f>IF(A215="","",H214)</f>
        <v>194383.19</v>
      </c>
      <c r="D215" s="22">
        <f>IF(A215="","",MIN('Calculator'!$B$10,C215+E215))</f>
        <v>1896.21</v>
      </c>
      <c r="E215" s="22">
        <f>IF(A215="","",ROUND(C215*'Calculator'!$B$5/12,2))</f>
        <v>1052.91</v>
      </c>
      <c r="F215" s="22">
        <f>IF(A215="","",D215-E215)</f>
        <v>843.3</v>
      </c>
      <c r="G215" s="22">
        <f>IF(A215="","",MAX(0,MIN(N('Calculator'!$B$8),C215-F215)))</f>
        <v>0</v>
      </c>
      <c r="H215" s="23">
        <f>IF(A215="","",ROUND(C215-F215-G215,2))</f>
        <v>193539.89</v>
      </c>
      <c r="I215" s="20">
        <f>IF(A215="","",ROUNDUP(A215/12,0))</f>
        <v>18</v>
      </c>
    </row>
    <row r="216" spans="1:9" x14ac:dyDescent="0.25">
      <c r="A216" s="20">
        <f>IF(H215="","",IF(H215&gt;0.005,A215+1,""))</f>
        <v>212</v>
      </c>
      <c r="B216" s="21">
        <f>IF(A216="","",EDATE('Calculator'!$B$7,A216-1))</f>
        <v>52824</v>
      </c>
      <c r="C216" s="22">
        <f>IF(A216="","",H215)</f>
        <v>193539.89</v>
      </c>
      <c r="D216" s="22">
        <f>IF(A216="","",MIN('Calculator'!$B$10,C216+E216))</f>
        <v>1896.21</v>
      </c>
      <c r="E216" s="22">
        <f>IF(A216="","",ROUND(C216*'Calculator'!$B$5/12,2))</f>
        <v>1048.34</v>
      </c>
      <c r="F216" s="22">
        <f>IF(A216="","",D216-E216)</f>
        <v>847.87</v>
      </c>
      <c r="G216" s="22">
        <f>IF(A216="","",MAX(0,MIN(N('Calculator'!$B$8),C216-F216)))</f>
        <v>0</v>
      </c>
      <c r="H216" s="23">
        <f>IF(A216="","",ROUND(C216-F216-G216,2))</f>
        <v>192692.02</v>
      </c>
      <c r="I216" s="20">
        <f>IF(A216="","",ROUNDUP(A216/12,0))</f>
        <v>18</v>
      </c>
    </row>
    <row r="217" spans="1:9" x14ac:dyDescent="0.25">
      <c r="A217" s="20">
        <f>IF(H216="","",IF(H216&gt;0.005,A216+1,""))</f>
        <v>213</v>
      </c>
      <c r="B217" s="21">
        <f>IF(A217="","",EDATE('Calculator'!$B$7,A217-1))</f>
        <v>52855</v>
      </c>
      <c r="C217" s="22">
        <f>IF(A217="","",H216)</f>
        <v>192692.02</v>
      </c>
      <c r="D217" s="22">
        <f>IF(A217="","",MIN('Calculator'!$B$10,C217+E217))</f>
        <v>1896.21</v>
      </c>
      <c r="E217" s="22">
        <f>IF(A217="","",ROUND(C217*'Calculator'!$B$5/12,2))</f>
        <v>1043.75</v>
      </c>
      <c r="F217" s="22">
        <f>IF(A217="","",D217-E217)</f>
        <v>852.46</v>
      </c>
      <c r="G217" s="22">
        <f>IF(A217="","",MAX(0,MIN(N('Calculator'!$B$8),C217-F217)))</f>
        <v>0</v>
      </c>
      <c r="H217" s="23">
        <f>IF(A217="","",ROUND(C217-F217-G217,2))</f>
        <v>191839.56</v>
      </c>
      <c r="I217" s="20">
        <f>IF(A217="","",ROUNDUP(A217/12,0))</f>
        <v>18</v>
      </c>
    </row>
    <row r="218" spans="1:9" x14ac:dyDescent="0.25">
      <c r="A218" s="20">
        <f>IF(H217="","",IF(H217&gt;0.005,A217+1,""))</f>
        <v>214</v>
      </c>
      <c r="B218" s="21">
        <f>IF(A218="","",EDATE('Calculator'!$B$7,A218-1))</f>
        <v>52885</v>
      </c>
      <c r="C218" s="22">
        <f>IF(A218="","",H217)</f>
        <v>191839.56</v>
      </c>
      <c r="D218" s="22">
        <f>IF(A218="","",MIN('Calculator'!$B$10,C218+E218))</f>
        <v>1896.21</v>
      </c>
      <c r="E218" s="22">
        <f>IF(A218="","",ROUND(C218*'Calculator'!$B$5/12,2))</f>
        <v>1039.13</v>
      </c>
      <c r="F218" s="22">
        <f>IF(A218="","",D218-E218)</f>
        <v>857.08</v>
      </c>
      <c r="G218" s="22">
        <f>IF(A218="","",MAX(0,MIN(N('Calculator'!$B$8),C218-F218)))</f>
        <v>0</v>
      </c>
      <c r="H218" s="23">
        <f>IF(A218="","",ROUND(C218-F218-G218,2))</f>
        <v>190982.48</v>
      </c>
      <c r="I218" s="20">
        <f>IF(A218="","",ROUNDUP(A218/12,0))</f>
        <v>18</v>
      </c>
    </row>
    <row r="219" spans="1:9" x14ac:dyDescent="0.25">
      <c r="A219" s="20">
        <f>IF(H218="","",IF(H218&gt;0.005,A218+1,""))</f>
        <v>215</v>
      </c>
      <c r="B219" s="21">
        <f>IF(A219="","",EDATE('Calculator'!$B$7,A219-1))</f>
        <v>52916</v>
      </c>
      <c r="C219" s="22">
        <f>IF(A219="","",H218)</f>
        <v>190982.48</v>
      </c>
      <c r="D219" s="22">
        <f>IF(A219="","",MIN('Calculator'!$B$10,C219+E219))</f>
        <v>1896.21</v>
      </c>
      <c r="E219" s="22">
        <f>IF(A219="","",ROUND(C219*'Calculator'!$B$5/12,2))</f>
        <v>1034.49</v>
      </c>
      <c r="F219" s="22">
        <f>IF(A219="","",D219-E219)</f>
        <v>861.72</v>
      </c>
      <c r="G219" s="22">
        <f>IF(A219="","",MAX(0,MIN(N('Calculator'!$B$8),C219-F219)))</f>
        <v>0</v>
      </c>
      <c r="H219" s="23">
        <f>IF(A219="","",ROUND(C219-F219-G219,2))</f>
        <v>190120.76</v>
      </c>
      <c r="I219" s="20">
        <f>IF(A219="","",ROUNDUP(A219/12,0))</f>
        <v>18</v>
      </c>
    </row>
    <row r="220" spans="1:9" x14ac:dyDescent="0.25">
      <c r="A220" s="20">
        <f>IF(H219="","",IF(H219&gt;0.005,A219+1,""))</f>
        <v>216</v>
      </c>
      <c r="B220" s="21">
        <f>IF(A220="","",EDATE('Calculator'!$B$7,A220-1))</f>
        <v>52946</v>
      </c>
      <c r="C220" s="22">
        <f>IF(A220="","",H219)</f>
        <v>190120.76</v>
      </c>
      <c r="D220" s="22">
        <f>IF(A220="","",MIN('Calculator'!$B$10,C220+E220))</f>
        <v>1896.21</v>
      </c>
      <c r="E220" s="22">
        <f>IF(A220="","",ROUND(C220*'Calculator'!$B$5/12,2))</f>
        <v>1029.82</v>
      </c>
      <c r="F220" s="22">
        <f>IF(A220="","",D220-E220)</f>
        <v>866.39</v>
      </c>
      <c r="G220" s="22">
        <f>IF(A220="","",MAX(0,MIN(N('Calculator'!$B$8),C220-F220)))</f>
        <v>0</v>
      </c>
      <c r="H220" s="23">
        <f>IF(A220="","",ROUND(C220-F220-G220,2))</f>
        <v>189254.37</v>
      </c>
      <c r="I220" s="20">
        <f>IF(A220="","",ROUNDUP(A220/12,0))</f>
        <v>18</v>
      </c>
    </row>
    <row r="221" spans="1:9" x14ac:dyDescent="0.25">
      <c r="A221" s="20">
        <f>IF(H220="","",IF(H220&gt;0.005,A220+1,""))</f>
        <v>217</v>
      </c>
      <c r="B221" s="21">
        <f>IF(A221="","",EDATE('Calculator'!$B$7,A221-1))</f>
        <v>52977</v>
      </c>
      <c r="C221" s="22">
        <f>IF(A221="","",H220)</f>
        <v>189254.37</v>
      </c>
      <c r="D221" s="22">
        <f>IF(A221="","",MIN('Calculator'!$B$10,C221+E221))</f>
        <v>1896.21</v>
      </c>
      <c r="E221" s="22">
        <f>IF(A221="","",ROUND(C221*'Calculator'!$B$5/12,2))</f>
        <v>1025.13</v>
      </c>
      <c r="F221" s="22">
        <f>IF(A221="","",D221-E221)</f>
        <v>871.08</v>
      </c>
      <c r="G221" s="22">
        <f>IF(A221="","",MAX(0,MIN(N('Calculator'!$B$8),C221-F221)))</f>
        <v>0</v>
      </c>
      <c r="H221" s="23">
        <f>IF(A221="","",ROUND(C221-F221-G221,2))</f>
        <v>188383.29</v>
      </c>
      <c r="I221" s="20">
        <f>IF(A221="","",ROUNDUP(A221/12,0))</f>
        <v>19</v>
      </c>
    </row>
    <row r="222" spans="1:9" x14ac:dyDescent="0.25">
      <c r="A222" s="20">
        <f>IF(H221="","",IF(H221&gt;0.005,A221+1,""))</f>
        <v>218</v>
      </c>
      <c r="B222" s="21">
        <f>IF(A222="","",EDATE('Calculator'!$B$7,A222-1))</f>
        <v>53008</v>
      </c>
      <c r="C222" s="22">
        <f>IF(A222="","",H221)</f>
        <v>188383.29</v>
      </c>
      <c r="D222" s="22">
        <f>IF(A222="","",MIN('Calculator'!$B$10,C222+E222))</f>
        <v>1896.21</v>
      </c>
      <c r="E222" s="22">
        <f>IF(A222="","",ROUND(C222*'Calculator'!$B$5/12,2))</f>
        <v>1020.41</v>
      </c>
      <c r="F222" s="22">
        <f>IF(A222="","",D222-E222)</f>
        <v>875.8</v>
      </c>
      <c r="G222" s="22">
        <f>IF(A222="","",MAX(0,MIN(N('Calculator'!$B$8),C222-F222)))</f>
        <v>0</v>
      </c>
      <c r="H222" s="23">
        <f>IF(A222="","",ROUND(C222-F222-G222,2))</f>
        <v>187507.49</v>
      </c>
      <c r="I222" s="20">
        <f>IF(A222="","",ROUNDUP(A222/12,0))</f>
        <v>19</v>
      </c>
    </row>
    <row r="223" spans="1:9" x14ac:dyDescent="0.25">
      <c r="A223" s="20">
        <f>IF(H222="","",IF(H222&gt;0.005,A222+1,""))</f>
        <v>219</v>
      </c>
      <c r="B223" s="21">
        <f>IF(A223="","",EDATE('Calculator'!$B$7,A223-1))</f>
        <v>53036</v>
      </c>
      <c r="C223" s="22">
        <f>IF(A223="","",H222)</f>
        <v>187507.49</v>
      </c>
      <c r="D223" s="22">
        <f>IF(A223="","",MIN('Calculator'!$B$10,C223+E223))</f>
        <v>1896.21</v>
      </c>
      <c r="E223" s="22">
        <f>IF(A223="","",ROUND(C223*'Calculator'!$B$5/12,2))</f>
        <v>1015.67</v>
      </c>
      <c r="F223" s="22">
        <f>IF(A223="","",D223-E223)</f>
        <v>880.54</v>
      </c>
      <c r="G223" s="22">
        <f>IF(A223="","",MAX(0,MIN(N('Calculator'!$B$8),C223-F223)))</f>
        <v>0</v>
      </c>
      <c r="H223" s="23">
        <f>IF(A223="","",ROUND(C223-F223-G223,2))</f>
        <v>186626.95</v>
      </c>
      <c r="I223" s="20">
        <f>IF(A223="","",ROUNDUP(A223/12,0))</f>
        <v>19</v>
      </c>
    </row>
    <row r="224" spans="1:9" x14ac:dyDescent="0.25">
      <c r="A224" s="20">
        <f>IF(H223="","",IF(H223&gt;0.005,A223+1,""))</f>
        <v>220</v>
      </c>
      <c r="B224" s="21">
        <f>IF(A224="","",EDATE('Calculator'!$B$7,A224-1))</f>
        <v>53067</v>
      </c>
      <c r="C224" s="22">
        <f>IF(A224="","",H223)</f>
        <v>186626.95</v>
      </c>
      <c r="D224" s="22">
        <f>IF(A224="","",MIN('Calculator'!$B$10,C224+E224))</f>
        <v>1896.21</v>
      </c>
      <c r="E224" s="22">
        <f>IF(A224="","",ROUND(C224*'Calculator'!$B$5/12,2))</f>
        <v>1010.9</v>
      </c>
      <c r="F224" s="22">
        <f>IF(A224="","",D224-E224)</f>
        <v>885.31</v>
      </c>
      <c r="G224" s="22">
        <f>IF(A224="","",MAX(0,MIN(N('Calculator'!$B$8),C224-F224)))</f>
        <v>0</v>
      </c>
      <c r="H224" s="23">
        <f>IF(A224="","",ROUND(C224-F224-G224,2))</f>
        <v>185741.64</v>
      </c>
      <c r="I224" s="20">
        <f>IF(A224="","",ROUNDUP(A224/12,0))</f>
        <v>19</v>
      </c>
    </row>
    <row r="225" spans="1:9" x14ac:dyDescent="0.25">
      <c r="A225" s="20">
        <f>IF(H224="","",IF(H224&gt;0.005,A224+1,""))</f>
        <v>221</v>
      </c>
      <c r="B225" s="21">
        <f>IF(A225="","",EDATE('Calculator'!$B$7,A225-1))</f>
        <v>53097</v>
      </c>
      <c r="C225" s="22">
        <f>IF(A225="","",H224)</f>
        <v>185741.64</v>
      </c>
      <c r="D225" s="22">
        <f>IF(A225="","",MIN('Calculator'!$B$10,C225+E225))</f>
        <v>1896.21</v>
      </c>
      <c r="E225" s="22">
        <f>IF(A225="","",ROUND(C225*'Calculator'!$B$5/12,2))</f>
        <v>1006.1</v>
      </c>
      <c r="F225" s="22">
        <f>IF(A225="","",D225-E225)</f>
        <v>890.11</v>
      </c>
      <c r="G225" s="22">
        <f>IF(A225="","",MAX(0,MIN(N('Calculator'!$B$8),C225-F225)))</f>
        <v>0</v>
      </c>
      <c r="H225" s="23">
        <f>IF(A225="","",ROUND(C225-F225-G225,2))</f>
        <v>184851.53</v>
      </c>
      <c r="I225" s="20">
        <f>IF(A225="","",ROUNDUP(A225/12,0))</f>
        <v>19</v>
      </c>
    </row>
    <row r="226" spans="1:9" x14ac:dyDescent="0.25">
      <c r="A226" s="20">
        <f>IF(H225="","",IF(H225&gt;0.005,A225+1,""))</f>
        <v>222</v>
      </c>
      <c r="B226" s="21">
        <f>IF(A226="","",EDATE('Calculator'!$B$7,A226-1))</f>
        <v>53128</v>
      </c>
      <c r="C226" s="22">
        <f>IF(A226="","",H225)</f>
        <v>184851.53</v>
      </c>
      <c r="D226" s="22">
        <f>IF(A226="","",MIN('Calculator'!$B$10,C226+E226))</f>
        <v>1896.21</v>
      </c>
      <c r="E226" s="22">
        <f>IF(A226="","",ROUND(C226*'Calculator'!$B$5/12,2))</f>
        <v>1001.28</v>
      </c>
      <c r="F226" s="22">
        <f>IF(A226="","",D226-E226)</f>
        <v>894.93</v>
      </c>
      <c r="G226" s="22">
        <f>IF(A226="","",MAX(0,MIN(N('Calculator'!$B$8),C226-F226)))</f>
        <v>0</v>
      </c>
      <c r="H226" s="23">
        <f>IF(A226="","",ROUND(C226-F226-G226,2))</f>
        <v>183956.6</v>
      </c>
      <c r="I226" s="20">
        <f>IF(A226="","",ROUNDUP(A226/12,0))</f>
        <v>19</v>
      </c>
    </row>
    <row r="227" spans="1:9" x14ac:dyDescent="0.25">
      <c r="A227" s="20">
        <f>IF(H226="","",IF(H226&gt;0.005,A226+1,""))</f>
        <v>223</v>
      </c>
      <c r="B227" s="21">
        <f>IF(A227="","",EDATE('Calculator'!$B$7,A227-1))</f>
        <v>53158</v>
      </c>
      <c r="C227" s="22">
        <f>IF(A227="","",H226)</f>
        <v>183956.6</v>
      </c>
      <c r="D227" s="22">
        <f>IF(A227="","",MIN('Calculator'!$B$10,C227+E227))</f>
        <v>1896.21</v>
      </c>
      <c r="E227" s="22">
        <f>IF(A227="","",ROUND(C227*'Calculator'!$B$5/12,2))</f>
        <v>996.43</v>
      </c>
      <c r="F227" s="22">
        <f>IF(A227="","",D227-E227)</f>
        <v>899.78</v>
      </c>
      <c r="G227" s="22">
        <f>IF(A227="","",MAX(0,MIN(N('Calculator'!$B$8),C227-F227)))</f>
        <v>0</v>
      </c>
      <c r="H227" s="23">
        <f>IF(A227="","",ROUND(C227-F227-G227,2))</f>
        <v>183056.82</v>
      </c>
      <c r="I227" s="20">
        <f>IF(A227="","",ROUNDUP(A227/12,0))</f>
        <v>19</v>
      </c>
    </row>
    <row r="228" spans="1:9" x14ac:dyDescent="0.25">
      <c r="A228" s="20">
        <f>IF(H227="","",IF(H227&gt;0.005,A227+1,""))</f>
        <v>224</v>
      </c>
      <c r="B228" s="21">
        <f>IF(A228="","",EDATE('Calculator'!$B$7,A228-1))</f>
        <v>53189</v>
      </c>
      <c r="C228" s="22">
        <f>IF(A228="","",H227)</f>
        <v>183056.82</v>
      </c>
      <c r="D228" s="22">
        <f>IF(A228="","",MIN('Calculator'!$B$10,C228+E228))</f>
        <v>1896.21</v>
      </c>
      <c r="E228" s="22">
        <f>IF(A228="","",ROUND(C228*'Calculator'!$B$5/12,2))</f>
        <v>991.56</v>
      </c>
      <c r="F228" s="22">
        <f>IF(A228="","",D228-E228)</f>
        <v>904.65</v>
      </c>
      <c r="G228" s="22">
        <f>IF(A228="","",MAX(0,MIN(N('Calculator'!$B$8),C228-F228)))</f>
        <v>0</v>
      </c>
      <c r="H228" s="23">
        <f>IF(A228="","",ROUND(C228-F228-G228,2))</f>
        <v>182152.17</v>
      </c>
      <c r="I228" s="20">
        <f>IF(A228="","",ROUNDUP(A228/12,0))</f>
        <v>19</v>
      </c>
    </row>
    <row r="229" spans="1:9" x14ac:dyDescent="0.25">
      <c r="A229" s="20">
        <f>IF(H228="","",IF(H228&gt;0.005,A228+1,""))</f>
        <v>225</v>
      </c>
      <c r="B229" s="21">
        <f>IF(A229="","",EDATE('Calculator'!$B$7,A229-1))</f>
        <v>53220</v>
      </c>
      <c r="C229" s="22">
        <f>IF(A229="","",H228)</f>
        <v>182152.17</v>
      </c>
      <c r="D229" s="22">
        <f>IF(A229="","",MIN('Calculator'!$B$10,C229+E229))</f>
        <v>1896.21</v>
      </c>
      <c r="E229" s="22">
        <f>IF(A229="","",ROUND(C229*'Calculator'!$B$5/12,2))</f>
        <v>986.66</v>
      </c>
      <c r="F229" s="22">
        <f>IF(A229="","",D229-E229)</f>
        <v>909.55</v>
      </c>
      <c r="G229" s="22">
        <f>IF(A229="","",MAX(0,MIN(N('Calculator'!$B$8),C229-F229)))</f>
        <v>0</v>
      </c>
      <c r="H229" s="23">
        <f>IF(A229="","",ROUND(C229-F229-G229,2))</f>
        <v>181242.62</v>
      </c>
      <c r="I229" s="20">
        <f>IF(A229="","",ROUNDUP(A229/12,0))</f>
        <v>19</v>
      </c>
    </row>
    <row r="230" spans="1:9" x14ac:dyDescent="0.25">
      <c r="A230" s="20">
        <f>IF(H229="","",IF(H229&gt;0.005,A229+1,""))</f>
        <v>226</v>
      </c>
      <c r="B230" s="21">
        <f>IF(A230="","",EDATE('Calculator'!$B$7,A230-1))</f>
        <v>53250</v>
      </c>
      <c r="C230" s="22">
        <f>IF(A230="","",H229)</f>
        <v>181242.62</v>
      </c>
      <c r="D230" s="22">
        <f>IF(A230="","",MIN('Calculator'!$B$10,C230+E230))</f>
        <v>1896.21</v>
      </c>
      <c r="E230" s="22">
        <f>IF(A230="","",ROUND(C230*'Calculator'!$B$5/12,2))</f>
        <v>981.73</v>
      </c>
      <c r="F230" s="22">
        <f>IF(A230="","",D230-E230)</f>
        <v>914.48</v>
      </c>
      <c r="G230" s="22">
        <f>IF(A230="","",MAX(0,MIN(N('Calculator'!$B$8),C230-F230)))</f>
        <v>0</v>
      </c>
      <c r="H230" s="23">
        <f>IF(A230="","",ROUND(C230-F230-G230,2))</f>
        <v>180328.14</v>
      </c>
      <c r="I230" s="20">
        <f>IF(A230="","",ROUNDUP(A230/12,0))</f>
        <v>19</v>
      </c>
    </row>
    <row r="231" spans="1:9" x14ac:dyDescent="0.25">
      <c r="A231" s="20">
        <f>IF(H230="","",IF(H230&gt;0.005,A230+1,""))</f>
        <v>227</v>
      </c>
      <c r="B231" s="21">
        <f>IF(A231="","",EDATE('Calculator'!$B$7,A231-1))</f>
        <v>53281</v>
      </c>
      <c r="C231" s="22">
        <f>IF(A231="","",H230)</f>
        <v>180328.14</v>
      </c>
      <c r="D231" s="22">
        <f>IF(A231="","",MIN('Calculator'!$B$10,C231+E231))</f>
        <v>1896.21</v>
      </c>
      <c r="E231" s="22">
        <f>IF(A231="","",ROUND(C231*'Calculator'!$B$5/12,2))</f>
        <v>976.78</v>
      </c>
      <c r="F231" s="22">
        <f>IF(A231="","",D231-E231)</f>
        <v>919.43</v>
      </c>
      <c r="G231" s="22">
        <f>IF(A231="","",MAX(0,MIN(N('Calculator'!$B$8),C231-F231)))</f>
        <v>0</v>
      </c>
      <c r="H231" s="23">
        <f>IF(A231="","",ROUND(C231-F231-G231,2))</f>
        <v>179408.71</v>
      </c>
      <c r="I231" s="20">
        <f>IF(A231="","",ROUNDUP(A231/12,0))</f>
        <v>19</v>
      </c>
    </row>
    <row r="232" spans="1:9" x14ac:dyDescent="0.25">
      <c r="A232" s="20">
        <f>IF(H231="","",IF(H231&gt;0.005,A231+1,""))</f>
        <v>228</v>
      </c>
      <c r="B232" s="21">
        <f>IF(A232="","",EDATE('Calculator'!$B$7,A232-1))</f>
        <v>53311</v>
      </c>
      <c r="C232" s="22">
        <f>IF(A232="","",H231)</f>
        <v>179408.71</v>
      </c>
      <c r="D232" s="22">
        <f>IF(A232="","",MIN('Calculator'!$B$10,C232+E232))</f>
        <v>1896.21</v>
      </c>
      <c r="E232" s="22">
        <f>IF(A232="","",ROUND(C232*'Calculator'!$B$5/12,2))</f>
        <v>971.8</v>
      </c>
      <c r="F232" s="22">
        <f>IF(A232="","",D232-E232)</f>
        <v>924.41</v>
      </c>
      <c r="G232" s="22">
        <f>IF(A232="","",MAX(0,MIN(N('Calculator'!$B$8),C232-F232)))</f>
        <v>0</v>
      </c>
      <c r="H232" s="23">
        <f>IF(A232="","",ROUND(C232-F232-G232,2))</f>
        <v>178484.3</v>
      </c>
      <c r="I232" s="20">
        <f>IF(A232="","",ROUNDUP(A232/12,0))</f>
        <v>19</v>
      </c>
    </row>
    <row r="233" spans="1:9" x14ac:dyDescent="0.25">
      <c r="A233" s="20">
        <f>IF(H232="","",IF(H232&gt;0.005,A232+1,""))</f>
        <v>229</v>
      </c>
      <c r="B233" s="21">
        <f>IF(A233="","",EDATE('Calculator'!$B$7,A233-1))</f>
        <v>53342</v>
      </c>
      <c r="C233" s="22">
        <f>IF(A233="","",H232)</f>
        <v>178484.3</v>
      </c>
      <c r="D233" s="22">
        <f>IF(A233="","",MIN('Calculator'!$B$10,C233+E233))</f>
        <v>1896.21</v>
      </c>
      <c r="E233" s="22">
        <f>IF(A233="","",ROUND(C233*'Calculator'!$B$5/12,2))</f>
        <v>966.79</v>
      </c>
      <c r="F233" s="22">
        <f>IF(A233="","",D233-E233)</f>
        <v>929.42</v>
      </c>
      <c r="G233" s="22">
        <f>IF(A233="","",MAX(0,MIN(N('Calculator'!$B$8),C233-F233)))</f>
        <v>0</v>
      </c>
      <c r="H233" s="23">
        <f>IF(A233="","",ROUND(C233-F233-G233,2))</f>
        <v>177554.88</v>
      </c>
      <c r="I233" s="20">
        <f>IF(A233="","",ROUNDUP(A233/12,0))</f>
        <v>20</v>
      </c>
    </row>
    <row r="234" spans="1:9" x14ac:dyDescent="0.25">
      <c r="A234" s="20">
        <f>IF(H233="","",IF(H233&gt;0.005,A233+1,""))</f>
        <v>230</v>
      </c>
      <c r="B234" s="21">
        <f>IF(A234="","",EDATE('Calculator'!$B$7,A234-1))</f>
        <v>53373</v>
      </c>
      <c r="C234" s="22">
        <f>IF(A234="","",H233)</f>
        <v>177554.88</v>
      </c>
      <c r="D234" s="22">
        <f>IF(A234="","",MIN('Calculator'!$B$10,C234+E234))</f>
        <v>1896.21</v>
      </c>
      <c r="E234" s="22">
        <f>IF(A234="","",ROUND(C234*'Calculator'!$B$5/12,2))</f>
        <v>961.76</v>
      </c>
      <c r="F234" s="22">
        <f>IF(A234="","",D234-E234)</f>
        <v>934.45</v>
      </c>
      <c r="G234" s="22">
        <f>IF(A234="","",MAX(0,MIN(N('Calculator'!$B$8),C234-F234)))</f>
        <v>0</v>
      </c>
      <c r="H234" s="23">
        <f>IF(A234="","",ROUND(C234-F234-G234,2))</f>
        <v>176620.43</v>
      </c>
      <c r="I234" s="20">
        <f>IF(A234="","",ROUNDUP(A234/12,0))</f>
        <v>20</v>
      </c>
    </row>
    <row r="235" spans="1:9" x14ac:dyDescent="0.25">
      <c r="A235" s="20">
        <f>IF(H234="","",IF(H234&gt;0.005,A234+1,""))</f>
        <v>231</v>
      </c>
      <c r="B235" s="21">
        <f>IF(A235="","",EDATE('Calculator'!$B$7,A235-1))</f>
        <v>53401</v>
      </c>
      <c r="C235" s="22">
        <f>IF(A235="","",H234)</f>
        <v>176620.43</v>
      </c>
      <c r="D235" s="22">
        <f>IF(A235="","",MIN('Calculator'!$B$10,C235+E235))</f>
        <v>1896.21</v>
      </c>
      <c r="E235" s="22">
        <f>IF(A235="","",ROUND(C235*'Calculator'!$B$5/12,2))</f>
        <v>956.69</v>
      </c>
      <c r="F235" s="22">
        <f>IF(A235="","",D235-E235)</f>
        <v>939.52</v>
      </c>
      <c r="G235" s="22">
        <f>IF(A235="","",MAX(0,MIN(N('Calculator'!$B$8),C235-F235)))</f>
        <v>0</v>
      </c>
      <c r="H235" s="23">
        <f>IF(A235="","",ROUND(C235-F235-G235,2))</f>
        <v>175680.91</v>
      </c>
      <c r="I235" s="20">
        <f>IF(A235="","",ROUNDUP(A235/12,0))</f>
        <v>20</v>
      </c>
    </row>
    <row r="236" spans="1:9" x14ac:dyDescent="0.25">
      <c r="A236" s="20">
        <f>IF(H235="","",IF(H235&gt;0.005,A235+1,""))</f>
        <v>232</v>
      </c>
      <c r="B236" s="21">
        <f>IF(A236="","",EDATE('Calculator'!$B$7,A236-1))</f>
        <v>53432</v>
      </c>
      <c r="C236" s="22">
        <f>IF(A236="","",H235)</f>
        <v>175680.91</v>
      </c>
      <c r="D236" s="22">
        <f>IF(A236="","",MIN('Calculator'!$B$10,C236+E236))</f>
        <v>1896.21</v>
      </c>
      <c r="E236" s="22">
        <f>IF(A236="","",ROUND(C236*'Calculator'!$B$5/12,2))</f>
        <v>951.6</v>
      </c>
      <c r="F236" s="22">
        <f>IF(A236="","",D236-E236)</f>
        <v>944.61</v>
      </c>
      <c r="G236" s="22">
        <f>IF(A236="","",MAX(0,MIN(N('Calculator'!$B$8),C236-F236)))</f>
        <v>0</v>
      </c>
      <c r="H236" s="23">
        <f>IF(A236="","",ROUND(C236-F236-G236,2))</f>
        <v>174736.3</v>
      </c>
      <c r="I236" s="20">
        <f>IF(A236="","",ROUNDUP(A236/12,0))</f>
        <v>20</v>
      </c>
    </row>
    <row r="237" spans="1:9" x14ac:dyDescent="0.25">
      <c r="A237" s="20">
        <f>IF(H236="","",IF(H236&gt;0.005,A236+1,""))</f>
        <v>233</v>
      </c>
      <c r="B237" s="21">
        <f>IF(A237="","",EDATE('Calculator'!$B$7,A237-1))</f>
        <v>53462</v>
      </c>
      <c r="C237" s="22">
        <f>IF(A237="","",H236)</f>
        <v>174736.3</v>
      </c>
      <c r="D237" s="22">
        <f>IF(A237="","",MIN('Calculator'!$B$10,C237+E237))</f>
        <v>1896.21</v>
      </c>
      <c r="E237" s="22">
        <f>IF(A237="","",ROUND(C237*'Calculator'!$B$5/12,2))</f>
        <v>946.49</v>
      </c>
      <c r="F237" s="22">
        <f>IF(A237="","",D237-E237)</f>
        <v>949.72</v>
      </c>
      <c r="G237" s="22">
        <f>IF(A237="","",MAX(0,MIN(N('Calculator'!$B$8),C237-F237)))</f>
        <v>0</v>
      </c>
      <c r="H237" s="23">
        <f>IF(A237="","",ROUND(C237-F237-G237,2))</f>
        <v>173786.58</v>
      </c>
      <c r="I237" s="20">
        <f>IF(A237="","",ROUNDUP(A237/12,0))</f>
        <v>20</v>
      </c>
    </row>
    <row r="238" spans="1:9" x14ac:dyDescent="0.25">
      <c r="A238" s="20">
        <f>IF(H237="","",IF(H237&gt;0.005,A237+1,""))</f>
        <v>234</v>
      </c>
      <c r="B238" s="21">
        <f>IF(A238="","",EDATE('Calculator'!$B$7,A238-1))</f>
        <v>53493</v>
      </c>
      <c r="C238" s="22">
        <f>IF(A238="","",H237)</f>
        <v>173786.58</v>
      </c>
      <c r="D238" s="22">
        <f>IF(A238="","",MIN('Calculator'!$B$10,C238+E238))</f>
        <v>1896.21</v>
      </c>
      <c r="E238" s="22">
        <f>IF(A238="","",ROUND(C238*'Calculator'!$B$5/12,2))</f>
        <v>941.34</v>
      </c>
      <c r="F238" s="22">
        <f>IF(A238="","",D238-E238)</f>
        <v>954.87</v>
      </c>
      <c r="G238" s="22">
        <f>IF(A238="","",MAX(0,MIN(N('Calculator'!$B$8),C238-F238)))</f>
        <v>0</v>
      </c>
      <c r="H238" s="23">
        <f>IF(A238="","",ROUND(C238-F238-G238,2))</f>
        <v>172831.71</v>
      </c>
      <c r="I238" s="20">
        <f>IF(A238="","",ROUNDUP(A238/12,0))</f>
        <v>20</v>
      </c>
    </row>
    <row r="239" spans="1:9" x14ac:dyDescent="0.25">
      <c r="A239" s="20">
        <f>IF(H238="","",IF(H238&gt;0.005,A238+1,""))</f>
        <v>235</v>
      </c>
      <c r="B239" s="21">
        <f>IF(A239="","",EDATE('Calculator'!$B$7,A239-1))</f>
        <v>53523</v>
      </c>
      <c r="C239" s="22">
        <f>IF(A239="","",H238)</f>
        <v>172831.71</v>
      </c>
      <c r="D239" s="22">
        <f>IF(A239="","",MIN('Calculator'!$B$10,C239+E239))</f>
        <v>1896.21</v>
      </c>
      <c r="E239" s="22">
        <f>IF(A239="","",ROUND(C239*'Calculator'!$B$5/12,2))</f>
        <v>936.17</v>
      </c>
      <c r="F239" s="22">
        <f>IF(A239="","",D239-E239)</f>
        <v>960.04</v>
      </c>
      <c r="G239" s="22">
        <f>IF(A239="","",MAX(0,MIN(N('Calculator'!$B$8),C239-F239)))</f>
        <v>0</v>
      </c>
      <c r="H239" s="23">
        <f>IF(A239="","",ROUND(C239-F239-G239,2))</f>
        <v>171871.67</v>
      </c>
      <c r="I239" s="20">
        <f>IF(A239="","",ROUNDUP(A239/12,0))</f>
        <v>20</v>
      </c>
    </row>
    <row r="240" spans="1:9" x14ac:dyDescent="0.25">
      <c r="A240" s="20">
        <f>IF(H239="","",IF(H239&gt;0.005,A239+1,""))</f>
        <v>236</v>
      </c>
      <c r="B240" s="21">
        <f>IF(A240="","",EDATE('Calculator'!$B$7,A240-1))</f>
        <v>53554</v>
      </c>
      <c r="C240" s="22">
        <f>IF(A240="","",H239)</f>
        <v>171871.67</v>
      </c>
      <c r="D240" s="22">
        <f>IF(A240="","",MIN('Calculator'!$B$10,C240+E240))</f>
        <v>1896.21</v>
      </c>
      <c r="E240" s="22">
        <f>IF(A240="","",ROUND(C240*'Calculator'!$B$5/12,2))</f>
        <v>930.97</v>
      </c>
      <c r="F240" s="22">
        <f>IF(A240="","",D240-E240)</f>
        <v>965.24</v>
      </c>
      <c r="G240" s="22">
        <f>IF(A240="","",MAX(0,MIN(N('Calculator'!$B$8),C240-F240)))</f>
        <v>0</v>
      </c>
      <c r="H240" s="23">
        <f>IF(A240="","",ROUND(C240-F240-G240,2))</f>
        <v>170906.43</v>
      </c>
      <c r="I240" s="20">
        <f>IF(A240="","",ROUNDUP(A240/12,0))</f>
        <v>20</v>
      </c>
    </row>
    <row r="241" spans="1:9" x14ac:dyDescent="0.25">
      <c r="A241" s="20">
        <f>IF(H240="","",IF(H240&gt;0.005,A240+1,""))</f>
        <v>237</v>
      </c>
      <c r="B241" s="21">
        <f>IF(A241="","",EDATE('Calculator'!$B$7,A241-1))</f>
        <v>53585</v>
      </c>
      <c r="C241" s="22">
        <f>IF(A241="","",H240)</f>
        <v>170906.43</v>
      </c>
      <c r="D241" s="22">
        <f>IF(A241="","",MIN('Calculator'!$B$10,C241+E241))</f>
        <v>1896.21</v>
      </c>
      <c r="E241" s="22">
        <f>IF(A241="","",ROUND(C241*'Calculator'!$B$5/12,2))</f>
        <v>925.74</v>
      </c>
      <c r="F241" s="22">
        <f>IF(A241="","",D241-E241)</f>
        <v>970.47</v>
      </c>
      <c r="G241" s="22">
        <f>IF(A241="","",MAX(0,MIN(N('Calculator'!$B$8),C241-F241)))</f>
        <v>0</v>
      </c>
      <c r="H241" s="23">
        <f>IF(A241="","",ROUND(C241-F241-G241,2))</f>
        <v>169935.96</v>
      </c>
      <c r="I241" s="20">
        <f>IF(A241="","",ROUNDUP(A241/12,0))</f>
        <v>20</v>
      </c>
    </row>
    <row r="242" spans="1:9" x14ac:dyDescent="0.25">
      <c r="A242" s="20">
        <f>IF(H241="","",IF(H241&gt;0.005,A241+1,""))</f>
        <v>238</v>
      </c>
      <c r="B242" s="21">
        <f>IF(A242="","",EDATE('Calculator'!$B$7,A242-1))</f>
        <v>53615</v>
      </c>
      <c r="C242" s="22">
        <f>IF(A242="","",H241)</f>
        <v>169935.96</v>
      </c>
      <c r="D242" s="22">
        <f>IF(A242="","",MIN('Calculator'!$B$10,C242+E242))</f>
        <v>1896.21</v>
      </c>
      <c r="E242" s="22">
        <f>IF(A242="","",ROUND(C242*'Calculator'!$B$5/12,2))</f>
        <v>920.49</v>
      </c>
      <c r="F242" s="22">
        <f>IF(A242="","",D242-E242)</f>
        <v>975.72</v>
      </c>
      <c r="G242" s="22">
        <f>IF(A242="","",MAX(0,MIN(N('Calculator'!$B$8),C242-F242)))</f>
        <v>0</v>
      </c>
      <c r="H242" s="23">
        <f>IF(A242="","",ROUND(C242-F242-G242,2))</f>
        <v>168960.24</v>
      </c>
      <c r="I242" s="20">
        <f>IF(A242="","",ROUNDUP(A242/12,0))</f>
        <v>20</v>
      </c>
    </row>
    <row r="243" spans="1:9" x14ac:dyDescent="0.25">
      <c r="A243" s="20">
        <f>IF(H242="","",IF(H242&gt;0.005,A242+1,""))</f>
        <v>239</v>
      </c>
      <c r="B243" s="21">
        <f>IF(A243="","",EDATE('Calculator'!$B$7,A243-1))</f>
        <v>53646</v>
      </c>
      <c r="C243" s="22">
        <f>IF(A243="","",H242)</f>
        <v>168960.24</v>
      </c>
      <c r="D243" s="22">
        <f>IF(A243="","",MIN('Calculator'!$B$10,C243+E243))</f>
        <v>1896.21</v>
      </c>
      <c r="E243" s="22">
        <f>IF(A243="","",ROUND(C243*'Calculator'!$B$5/12,2))</f>
        <v>915.2</v>
      </c>
      <c r="F243" s="22">
        <f>IF(A243="","",D243-E243)</f>
        <v>981.01</v>
      </c>
      <c r="G243" s="22">
        <f>IF(A243="","",MAX(0,MIN(N('Calculator'!$B$8),C243-F243)))</f>
        <v>0</v>
      </c>
      <c r="H243" s="23">
        <f>IF(A243="","",ROUND(C243-F243-G243,2))</f>
        <v>167979.23</v>
      </c>
      <c r="I243" s="20">
        <f>IF(A243="","",ROUNDUP(A243/12,0))</f>
        <v>20</v>
      </c>
    </row>
    <row r="244" spans="1:9" x14ac:dyDescent="0.25">
      <c r="A244" s="20">
        <f>IF(H243="","",IF(H243&gt;0.005,A243+1,""))</f>
        <v>240</v>
      </c>
      <c r="B244" s="21">
        <f>IF(A244="","",EDATE('Calculator'!$B$7,A244-1))</f>
        <v>53676</v>
      </c>
      <c r="C244" s="22">
        <f>IF(A244="","",H243)</f>
        <v>167979.23</v>
      </c>
      <c r="D244" s="22">
        <f>IF(A244="","",MIN('Calculator'!$B$10,C244+E244))</f>
        <v>1896.21</v>
      </c>
      <c r="E244" s="22">
        <f>IF(A244="","",ROUND(C244*'Calculator'!$B$5/12,2))</f>
        <v>909.89</v>
      </c>
      <c r="F244" s="22">
        <f>IF(A244="","",D244-E244)</f>
        <v>986.32</v>
      </c>
      <c r="G244" s="22">
        <f>IF(A244="","",MAX(0,MIN(N('Calculator'!$B$8),C244-F244)))</f>
        <v>0</v>
      </c>
      <c r="H244" s="23">
        <f>IF(A244="","",ROUND(C244-F244-G244,2))</f>
        <v>166992.91</v>
      </c>
      <c r="I244" s="20">
        <f>IF(A244="","",ROUNDUP(A244/12,0))</f>
        <v>20</v>
      </c>
    </row>
    <row r="245" spans="1:9" x14ac:dyDescent="0.25">
      <c r="A245" s="20">
        <f>IF(H244="","",IF(H244&gt;0.005,A244+1,""))</f>
        <v>241</v>
      </c>
      <c r="B245" s="21">
        <f>IF(A245="","",EDATE('Calculator'!$B$7,A245-1))</f>
        <v>53707</v>
      </c>
      <c r="C245" s="22">
        <f>IF(A245="","",H244)</f>
        <v>166992.91</v>
      </c>
      <c r="D245" s="22">
        <f>IF(A245="","",MIN('Calculator'!$B$10,C245+E245))</f>
        <v>1896.21</v>
      </c>
      <c r="E245" s="22">
        <f>IF(A245="","",ROUND(C245*'Calculator'!$B$5/12,2))</f>
        <v>904.54</v>
      </c>
      <c r="F245" s="22">
        <f>IF(A245="","",D245-E245)</f>
        <v>991.67</v>
      </c>
      <c r="G245" s="22">
        <f>IF(A245="","",MAX(0,MIN(N('Calculator'!$B$8),C245-F245)))</f>
        <v>0</v>
      </c>
      <c r="H245" s="23">
        <f>IF(A245="","",ROUND(C245-F245-G245,2))</f>
        <v>166001.24</v>
      </c>
      <c r="I245" s="20">
        <f>IF(A245="","",ROUNDUP(A245/12,0))</f>
        <v>21</v>
      </c>
    </row>
    <row r="246" spans="1:9" x14ac:dyDescent="0.25">
      <c r="A246" s="20">
        <f>IF(H245="","",IF(H245&gt;0.005,A245+1,""))</f>
        <v>242</v>
      </c>
      <c r="B246" s="21">
        <f>IF(A246="","",EDATE('Calculator'!$B$7,A246-1))</f>
        <v>53738</v>
      </c>
      <c r="C246" s="22">
        <f>IF(A246="","",H245)</f>
        <v>166001.24</v>
      </c>
      <c r="D246" s="22">
        <f>IF(A246="","",MIN('Calculator'!$B$10,C246+E246))</f>
        <v>1896.21</v>
      </c>
      <c r="E246" s="22">
        <f>IF(A246="","",ROUND(C246*'Calculator'!$B$5/12,2))</f>
        <v>899.17</v>
      </c>
      <c r="F246" s="22">
        <f>IF(A246="","",D246-E246)</f>
        <v>997.04</v>
      </c>
      <c r="G246" s="22">
        <f>IF(A246="","",MAX(0,MIN(N('Calculator'!$B$8),C246-F246)))</f>
        <v>0</v>
      </c>
      <c r="H246" s="23">
        <f>IF(A246="","",ROUND(C246-F246-G246,2))</f>
        <v>165004.2</v>
      </c>
      <c r="I246" s="20">
        <f>IF(A246="","",ROUNDUP(A246/12,0))</f>
        <v>21</v>
      </c>
    </row>
    <row r="247" spans="1:9" x14ac:dyDescent="0.25">
      <c r="A247" s="20">
        <f>IF(H246="","",IF(H246&gt;0.005,A246+1,""))</f>
        <v>243</v>
      </c>
      <c r="B247" s="21">
        <f>IF(A247="","",EDATE('Calculator'!$B$7,A247-1))</f>
        <v>53766</v>
      </c>
      <c r="C247" s="22">
        <f>IF(A247="","",H246)</f>
        <v>165004.2</v>
      </c>
      <c r="D247" s="22">
        <f>IF(A247="","",MIN('Calculator'!$B$10,C247+E247))</f>
        <v>1896.21</v>
      </c>
      <c r="E247" s="22">
        <f>IF(A247="","",ROUND(C247*'Calculator'!$B$5/12,2))</f>
        <v>893.77</v>
      </c>
      <c r="F247" s="22">
        <f>IF(A247="","",D247-E247)</f>
        <v>1002.44</v>
      </c>
      <c r="G247" s="22">
        <f>IF(A247="","",MAX(0,MIN(N('Calculator'!$B$8),C247-F247)))</f>
        <v>0</v>
      </c>
      <c r="H247" s="23">
        <f>IF(A247="","",ROUND(C247-F247-G247,2))</f>
        <v>164001.76</v>
      </c>
      <c r="I247" s="20">
        <f>IF(A247="","",ROUNDUP(A247/12,0))</f>
        <v>21</v>
      </c>
    </row>
    <row r="248" spans="1:9" x14ac:dyDescent="0.25">
      <c r="A248" s="20">
        <f>IF(H247="","",IF(H247&gt;0.005,A247+1,""))</f>
        <v>244</v>
      </c>
      <c r="B248" s="21">
        <f>IF(A248="","",EDATE('Calculator'!$B$7,A248-1))</f>
        <v>53797</v>
      </c>
      <c r="C248" s="22">
        <f>IF(A248="","",H247)</f>
        <v>164001.76</v>
      </c>
      <c r="D248" s="22">
        <f>IF(A248="","",MIN('Calculator'!$B$10,C248+E248))</f>
        <v>1896.21</v>
      </c>
      <c r="E248" s="22">
        <f>IF(A248="","",ROUND(C248*'Calculator'!$B$5/12,2))</f>
        <v>888.34</v>
      </c>
      <c r="F248" s="22">
        <f>IF(A248="","",D248-E248)</f>
        <v>1007.87</v>
      </c>
      <c r="G248" s="22">
        <f>IF(A248="","",MAX(0,MIN(N('Calculator'!$B$8),C248-F248)))</f>
        <v>0</v>
      </c>
      <c r="H248" s="23">
        <f>IF(A248="","",ROUND(C248-F248-G248,2))</f>
        <v>162993.89</v>
      </c>
      <c r="I248" s="20">
        <f>IF(A248="","",ROUNDUP(A248/12,0))</f>
        <v>21</v>
      </c>
    </row>
    <row r="249" spans="1:9" x14ac:dyDescent="0.25">
      <c r="A249" s="20">
        <f>IF(H248="","",IF(H248&gt;0.005,A248+1,""))</f>
        <v>245</v>
      </c>
      <c r="B249" s="21">
        <f>IF(A249="","",EDATE('Calculator'!$B$7,A249-1))</f>
        <v>53827</v>
      </c>
      <c r="C249" s="22">
        <f>IF(A249="","",H248)</f>
        <v>162993.89</v>
      </c>
      <c r="D249" s="22">
        <f>IF(A249="","",MIN('Calculator'!$B$10,C249+E249))</f>
        <v>1896.21</v>
      </c>
      <c r="E249" s="22">
        <f>IF(A249="","",ROUND(C249*'Calculator'!$B$5/12,2))</f>
        <v>882.88</v>
      </c>
      <c r="F249" s="22">
        <f>IF(A249="","",D249-E249)</f>
        <v>1013.33</v>
      </c>
      <c r="G249" s="22">
        <f>IF(A249="","",MAX(0,MIN(N('Calculator'!$B$8),C249-F249)))</f>
        <v>0</v>
      </c>
      <c r="H249" s="23">
        <f>IF(A249="","",ROUND(C249-F249-G249,2))</f>
        <v>161980.56</v>
      </c>
      <c r="I249" s="20">
        <f>IF(A249="","",ROUNDUP(A249/12,0))</f>
        <v>21</v>
      </c>
    </row>
    <row r="250" spans="1:9" x14ac:dyDescent="0.25">
      <c r="A250" s="20">
        <f>IF(H249="","",IF(H249&gt;0.005,A249+1,""))</f>
        <v>246</v>
      </c>
      <c r="B250" s="21">
        <f>IF(A250="","",EDATE('Calculator'!$B$7,A250-1))</f>
        <v>53858</v>
      </c>
      <c r="C250" s="22">
        <f>IF(A250="","",H249)</f>
        <v>161980.56</v>
      </c>
      <c r="D250" s="22">
        <f>IF(A250="","",MIN('Calculator'!$B$10,C250+E250))</f>
        <v>1896.21</v>
      </c>
      <c r="E250" s="22">
        <f>IF(A250="","",ROUND(C250*'Calculator'!$B$5/12,2))</f>
        <v>877.39</v>
      </c>
      <c r="F250" s="22">
        <f>IF(A250="","",D250-E250)</f>
        <v>1018.82</v>
      </c>
      <c r="G250" s="22">
        <f>IF(A250="","",MAX(0,MIN(N('Calculator'!$B$8),C250-F250)))</f>
        <v>0</v>
      </c>
      <c r="H250" s="23">
        <f>IF(A250="","",ROUND(C250-F250-G250,2))</f>
        <v>160961.74</v>
      </c>
      <c r="I250" s="20">
        <f>IF(A250="","",ROUNDUP(A250/12,0))</f>
        <v>21</v>
      </c>
    </row>
    <row r="251" spans="1:9" x14ac:dyDescent="0.25">
      <c r="A251" s="20">
        <f>IF(H250="","",IF(H250&gt;0.005,A250+1,""))</f>
        <v>247</v>
      </c>
      <c r="B251" s="21">
        <f>IF(A251="","",EDATE('Calculator'!$B$7,A251-1))</f>
        <v>53888</v>
      </c>
      <c r="C251" s="22">
        <f>IF(A251="","",H250)</f>
        <v>160961.74</v>
      </c>
      <c r="D251" s="22">
        <f>IF(A251="","",MIN('Calculator'!$B$10,C251+E251))</f>
        <v>1896.21</v>
      </c>
      <c r="E251" s="22">
        <f>IF(A251="","",ROUND(C251*'Calculator'!$B$5/12,2))</f>
        <v>871.88</v>
      </c>
      <c r="F251" s="22">
        <f>IF(A251="","",D251-E251)</f>
        <v>1024.33</v>
      </c>
      <c r="G251" s="22">
        <f>IF(A251="","",MAX(0,MIN(N('Calculator'!$B$8),C251-F251)))</f>
        <v>0</v>
      </c>
      <c r="H251" s="23">
        <f>IF(A251="","",ROUND(C251-F251-G251,2))</f>
        <v>159937.41</v>
      </c>
      <c r="I251" s="20">
        <f>IF(A251="","",ROUNDUP(A251/12,0))</f>
        <v>21</v>
      </c>
    </row>
    <row r="252" spans="1:9" x14ac:dyDescent="0.25">
      <c r="A252" s="20">
        <f>IF(H251="","",IF(H251&gt;0.005,A251+1,""))</f>
        <v>248</v>
      </c>
      <c r="B252" s="21">
        <f>IF(A252="","",EDATE('Calculator'!$B$7,A252-1))</f>
        <v>53919</v>
      </c>
      <c r="C252" s="22">
        <f>IF(A252="","",H251)</f>
        <v>159937.41</v>
      </c>
      <c r="D252" s="22">
        <f>IF(A252="","",MIN('Calculator'!$B$10,C252+E252))</f>
        <v>1896.21</v>
      </c>
      <c r="E252" s="22">
        <f>IF(A252="","",ROUND(C252*'Calculator'!$B$5/12,2))</f>
        <v>866.33</v>
      </c>
      <c r="F252" s="22">
        <f>IF(A252="","",D252-E252)</f>
        <v>1029.88</v>
      </c>
      <c r="G252" s="22">
        <f>IF(A252="","",MAX(0,MIN(N('Calculator'!$B$8),C252-F252)))</f>
        <v>0</v>
      </c>
      <c r="H252" s="23">
        <f>IF(A252="","",ROUND(C252-F252-G252,2))</f>
        <v>158907.53</v>
      </c>
      <c r="I252" s="20">
        <f>IF(A252="","",ROUNDUP(A252/12,0))</f>
        <v>21</v>
      </c>
    </row>
    <row r="253" spans="1:9" x14ac:dyDescent="0.25">
      <c r="A253" s="20">
        <f>IF(H252="","",IF(H252&gt;0.005,A252+1,""))</f>
        <v>249</v>
      </c>
      <c r="B253" s="21">
        <f>IF(A253="","",EDATE('Calculator'!$B$7,A253-1))</f>
        <v>53950</v>
      </c>
      <c r="C253" s="22">
        <f>IF(A253="","",H252)</f>
        <v>158907.53</v>
      </c>
      <c r="D253" s="22">
        <f>IF(A253="","",MIN('Calculator'!$B$10,C253+E253))</f>
        <v>1896.21</v>
      </c>
      <c r="E253" s="22">
        <f>IF(A253="","",ROUND(C253*'Calculator'!$B$5/12,2))</f>
        <v>860.75</v>
      </c>
      <c r="F253" s="22">
        <f>IF(A253="","",D253-E253)</f>
        <v>1035.46</v>
      </c>
      <c r="G253" s="22">
        <f>IF(A253="","",MAX(0,MIN(N('Calculator'!$B$8),C253-F253)))</f>
        <v>0</v>
      </c>
      <c r="H253" s="23">
        <f>IF(A253="","",ROUND(C253-F253-G253,2))</f>
        <v>157872.07</v>
      </c>
      <c r="I253" s="20">
        <f>IF(A253="","",ROUNDUP(A253/12,0))</f>
        <v>21</v>
      </c>
    </row>
    <row r="254" spans="1:9" x14ac:dyDescent="0.25">
      <c r="A254" s="20">
        <f>IF(H253="","",IF(H253&gt;0.005,A253+1,""))</f>
        <v>250</v>
      </c>
      <c r="B254" s="21">
        <f>IF(A254="","",EDATE('Calculator'!$B$7,A254-1))</f>
        <v>53980</v>
      </c>
      <c r="C254" s="22">
        <f>IF(A254="","",H253)</f>
        <v>157872.07</v>
      </c>
      <c r="D254" s="22">
        <f>IF(A254="","",MIN('Calculator'!$B$10,C254+E254))</f>
        <v>1896.21</v>
      </c>
      <c r="E254" s="22">
        <f>IF(A254="","",ROUND(C254*'Calculator'!$B$5/12,2))</f>
        <v>855.14</v>
      </c>
      <c r="F254" s="22">
        <f>IF(A254="","",D254-E254)</f>
        <v>1041.07</v>
      </c>
      <c r="G254" s="22">
        <f>IF(A254="","",MAX(0,MIN(N('Calculator'!$B$8),C254-F254)))</f>
        <v>0</v>
      </c>
      <c r="H254" s="23">
        <f>IF(A254="","",ROUND(C254-F254-G254,2))</f>
        <v>156831</v>
      </c>
      <c r="I254" s="20">
        <f>IF(A254="","",ROUNDUP(A254/12,0))</f>
        <v>21</v>
      </c>
    </row>
    <row r="255" spans="1:9" x14ac:dyDescent="0.25">
      <c r="A255" s="20">
        <f>IF(H254="","",IF(H254&gt;0.005,A254+1,""))</f>
        <v>251</v>
      </c>
      <c r="B255" s="21">
        <f>IF(A255="","",EDATE('Calculator'!$B$7,A255-1))</f>
        <v>54011</v>
      </c>
      <c r="C255" s="22">
        <f>IF(A255="","",H254)</f>
        <v>156831</v>
      </c>
      <c r="D255" s="22">
        <f>IF(A255="","",MIN('Calculator'!$B$10,C255+E255))</f>
        <v>1896.21</v>
      </c>
      <c r="E255" s="22">
        <f>IF(A255="","",ROUND(C255*'Calculator'!$B$5/12,2))</f>
        <v>849.5</v>
      </c>
      <c r="F255" s="22">
        <f>IF(A255="","",D255-E255)</f>
        <v>1046.71</v>
      </c>
      <c r="G255" s="22">
        <f>IF(A255="","",MAX(0,MIN(N('Calculator'!$B$8),C255-F255)))</f>
        <v>0</v>
      </c>
      <c r="H255" s="23">
        <f>IF(A255="","",ROUND(C255-F255-G255,2))</f>
        <v>155784.29</v>
      </c>
      <c r="I255" s="20">
        <f>IF(A255="","",ROUNDUP(A255/12,0))</f>
        <v>21</v>
      </c>
    </row>
    <row r="256" spans="1:9" x14ac:dyDescent="0.25">
      <c r="A256" s="20">
        <f>IF(H255="","",IF(H255&gt;0.005,A255+1,""))</f>
        <v>252</v>
      </c>
      <c r="B256" s="21">
        <f>IF(A256="","",EDATE('Calculator'!$B$7,A256-1))</f>
        <v>54041</v>
      </c>
      <c r="C256" s="22">
        <f>IF(A256="","",H255)</f>
        <v>155784.29</v>
      </c>
      <c r="D256" s="22">
        <f>IF(A256="","",MIN('Calculator'!$B$10,C256+E256))</f>
        <v>1896.21</v>
      </c>
      <c r="E256" s="22">
        <f>IF(A256="","",ROUND(C256*'Calculator'!$B$5/12,2))</f>
        <v>843.83</v>
      </c>
      <c r="F256" s="22">
        <f>IF(A256="","",D256-E256)</f>
        <v>1052.38</v>
      </c>
      <c r="G256" s="22">
        <f>IF(A256="","",MAX(0,MIN(N('Calculator'!$B$8),C256-F256)))</f>
        <v>0</v>
      </c>
      <c r="H256" s="23">
        <f>IF(A256="","",ROUND(C256-F256-G256,2))</f>
        <v>154731.91</v>
      </c>
      <c r="I256" s="20">
        <f>IF(A256="","",ROUNDUP(A256/12,0))</f>
        <v>21</v>
      </c>
    </row>
    <row r="257" spans="1:9" x14ac:dyDescent="0.25">
      <c r="A257" s="20">
        <f>IF(H256="","",IF(H256&gt;0.005,A256+1,""))</f>
        <v>253</v>
      </c>
      <c r="B257" s="21">
        <f>IF(A257="","",EDATE('Calculator'!$B$7,A257-1))</f>
        <v>54072</v>
      </c>
      <c r="C257" s="22">
        <f>IF(A257="","",H256)</f>
        <v>154731.91</v>
      </c>
      <c r="D257" s="22">
        <f>IF(A257="","",MIN('Calculator'!$B$10,C257+E257))</f>
        <v>1896.21</v>
      </c>
      <c r="E257" s="22">
        <f>IF(A257="","",ROUND(C257*'Calculator'!$B$5/12,2))</f>
        <v>838.13</v>
      </c>
      <c r="F257" s="22">
        <f>IF(A257="","",D257-E257)</f>
        <v>1058.08</v>
      </c>
      <c r="G257" s="22">
        <f>IF(A257="","",MAX(0,MIN(N('Calculator'!$B$8),C257-F257)))</f>
        <v>0</v>
      </c>
      <c r="H257" s="23">
        <f>IF(A257="","",ROUND(C257-F257-G257,2))</f>
        <v>153673.83</v>
      </c>
      <c r="I257" s="20">
        <f>IF(A257="","",ROUNDUP(A257/12,0))</f>
        <v>22</v>
      </c>
    </row>
    <row r="258" spans="1:9" x14ac:dyDescent="0.25">
      <c r="A258" s="20">
        <f>IF(H257="","",IF(H257&gt;0.005,A257+1,""))</f>
        <v>254</v>
      </c>
      <c r="B258" s="21">
        <f>IF(A258="","",EDATE('Calculator'!$B$7,A258-1))</f>
        <v>54103</v>
      </c>
      <c r="C258" s="22">
        <f>IF(A258="","",H257)</f>
        <v>153673.83</v>
      </c>
      <c r="D258" s="22">
        <f>IF(A258="","",MIN('Calculator'!$B$10,C258+E258))</f>
        <v>1896.21</v>
      </c>
      <c r="E258" s="22">
        <f>IF(A258="","",ROUND(C258*'Calculator'!$B$5/12,2))</f>
        <v>832.4</v>
      </c>
      <c r="F258" s="22">
        <f>IF(A258="","",D258-E258)</f>
        <v>1063.81</v>
      </c>
      <c r="G258" s="22">
        <f>IF(A258="","",MAX(0,MIN(N('Calculator'!$B$8),C258-F258)))</f>
        <v>0</v>
      </c>
      <c r="H258" s="23">
        <f>IF(A258="","",ROUND(C258-F258-G258,2))</f>
        <v>152610.02</v>
      </c>
      <c r="I258" s="20">
        <f>IF(A258="","",ROUNDUP(A258/12,0))</f>
        <v>22</v>
      </c>
    </row>
    <row r="259" spans="1:9" x14ac:dyDescent="0.25">
      <c r="A259" s="20">
        <f>IF(H258="","",IF(H258&gt;0.005,A258+1,""))</f>
        <v>255</v>
      </c>
      <c r="B259" s="21">
        <f>IF(A259="","",EDATE('Calculator'!$B$7,A259-1))</f>
        <v>54132</v>
      </c>
      <c r="C259" s="22">
        <f>IF(A259="","",H258)</f>
        <v>152610.02</v>
      </c>
      <c r="D259" s="22">
        <f>IF(A259="","",MIN('Calculator'!$B$10,C259+E259))</f>
        <v>1896.21</v>
      </c>
      <c r="E259" s="22">
        <f>IF(A259="","",ROUND(C259*'Calculator'!$B$5/12,2))</f>
        <v>826.64</v>
      </c>
      <c r="F259" s="22">
        <f>IF(A259="","",D259-E259)</f>
        <v>1069.57</v>
      </c>
      <c r="G259" s="22">
        <f>IF(A259="","",MAX(0,MIN(N('Calculator'!$B$8),C259-F259)))</f>
        <v>0</v>
      </c>
      <c r="H259" s="23">
        <f>IF(A259="","",ROUND(C259-F259-G259,2))</f>
        <v>151540.45</v>
      </c>
      <c r="I259" s="20">
        <f>IF(A259="","",ROUNDUP(A259/12,0))</f>
        <v>22</v>
      </c>
    </row>
    <row r="260" spans="1:9" x14ac:dyDescent="0.25">
      <c r="A260" s="20">
        <f>IF(H259="","",IF(H259&gt;0.005,A259+1,""))</f>
        <v>256</v>
      </c>
      <c r="B260" s="21">
        <f>IF(A260="","",EDATE('Calculator'!$B$7,A260-1))</f>
        <v>54163</v>
      </c>
      <c r="C260" s="22">
        <f>IF(A260="","",H259)</f>
        <v>151540.45</v>
      </c>
      <c r="D260" s="22">
        <f>IF(A260="","",MIN('Calculator'!$B$10,C260+E260))</f>
        <v>1896.21</v>
      </c>
      <c r="E260" s="22">
        <f>IF(A260="","",ROUND(C260*'Calculator'!$B$5/12,2))</f>
        <v>820.84</v>
      </c>
      <c r="F260" s="22">
        <f>IF(A260="","",D260-E260)</f>
        <v>1075.37</v>
      </c>
      <c r="G260" s="22">
        <f>IF(A260="","",MAX(0,MIN(N('Calculator'!$B$8),C260-F260)))</f>
        <v>0</v>
      </c>
      <c r="H260" s="23">
        <f>IF(A260="","",ROUND(C260-F260-G260,2))</f>
        <v>150465.08</v>
      </c>
      <c r="I260" s="20">
        <f>IF(A260="","",ROUNDUP(A260/12,0))</f>
        <v>22</v>
      </c>
    </row>
    <row r="261" spans="1:9" x14ac:dyDescent="0.25">
      <c r="A261" s="20">
        <f>IF(H260="","",IF(H260&gt;0.005,A260+1,""))</f>
        <v>257</v>
      </c>
      <c r="B261" s="21">
        <f>IF(A261="","",EDATE('Calculator'!$B$7,A261-1))</f>
        <v>54193</v>
      </c>
      <c r="C261" s="22">
        <f>IF(A261="","",H260)</f>
        <v>150465.08</v>
      </c>
      <c r="D261" s="22">
        <f>IF(A261="","",MIN('Calculator'!$B$10,C261+E261))</f>
        <v>1896.21</v>
      </c>
      <c r="E261" s="22">
        <f>IF(A261="","",ROUND(C261*'Calculator'!$B$5/12,2))</f>
        <v>815.02</v>
      </c>
      <c r="F261" s="22">
        <f>IF(A261="","",D261-E261)</f>
        <v>1081.19</v>
      </c>
      <c r="G261" s="22">
        <f>IF(A261="","",MAX(0,MIN(N('Calculator'!$B$8),C261-F261)))</f>
        <v>0</v>
      </c>
      <c r="H261" s="23">
        <f>IF(A261="","",ROUND(C261-F261-G261,2))</f>
        <v>149383.89</v>
      </c>
      <c r="I261" s="20">
        <f>IF(A261="","",ROUNDUP(A261/12,0))</f>
        <v>22</v>
      </c>
    </row>
    <row r="262" spans="1:9" x14ac:dyDescent="0.25">
      <c r="A262" s="20">
        <f>IF(H261="","",IF(H261&gt;0.005,A261+1,""))</f>
        <v>258</v>
      </c>
      <c r="B262" s="21">
        <f>IF(A262="","",EDATE('Calculator'!$B$7,A262-1))</f>
        <v>54224</v>
      </c>
      <c r="C262" s="22">
        <f>IF(A262="","",H261)</f>
        <v>149383.89</v>
      </c>
      <c r="D262" s="22">
        <f>IF(A262="","",MIN('Calculator'!$B$10,C262+E262))</f>
        <v>1896.21</v>
      </c>
      <c r="E262" s="22">
        <f>IF(A262="","",ROUND(C262*'Calculator'!$B$5/12,2))</f>
        <v>809.16</v>
      </c>
      <c r="F262" s="22">
        <f>IF(A262="","",D262-E262)</f>
        <v>1087.05</v>
      </c>
      <c r="G262" s="22">
        <f>IF(A262="","",MAX(0,MIN(N('Calculator'!$B$8),C262-F262)))</f>
        <v>0</v>
      </c>
      <c r="H262" s="23">
        <f>IF(A262="","",ROUND(C262-F262-G262,2))</f>
        <v>148296.84</v>
      </c>
      <c r="I262" s="20">
        <f>IF(A262="","",ROUNDUP(A262/12,0))</f>
        <v>22</v>
      </c>
    </row>
    <row r="263" spans="1:9" x14ac:dyDescent="0.25">
      <c r="A263" s="20">
        <f>IF(H262="","",IF(H262&gt;0.005,A262+1,""))</f>
        <v>259</v>
      </c>
      <c r="B263" s="21">
        <f>IF(A263="","",EDATE('Calculator'!$B$7,A263-1))</f>
        <v>54254</v>
      </c>
      <c r="C263" s="22">
        <f>IF(A263="","",H262)</f>
        <v>148296.84</v>
      </c>
      <c r="D263" s="22">
        <f>IF(A263="","",MIN('Calculator'!$B$10,C263+E263))</f>
        <v>1896.21</v>
      </c>
      <c r="E263" s="22">
        <f>IF(A263="","",ROUND(C263*'Calculator'!$B$5/12,2))</f>
        <v>803.27</v>
      </c>
      <c r="F263" s="22">
        <f>IF(A263="","",D263-E263)</f>
        <v>1092.94</v>
      </c>
      <c r="G263" s="22">
        <f>IF(A263="","",MAX(0,MIN(N('Calculator'!$B$8),C263-F263)))</f>
        <v>0</v>
      </c>
      <c r="H263" s="23">
        <f>IF(A263="","",ROUND(C263-F263-G263,2))</f>
        <v>147203.9</v>
      </c>
      <c r="I263" s="20">
        <f>IF(A263="","",ROUNDUP(A263/12,0))</f>
        <v>22</v>
      </c>
    </row>
    <row r="264" spans="1:9" x14ac:dyDescent="0.25">
      <c r="A264" s="20">
        <f>IF(H263="","",IF(H263&gt;0.005,A263+1,""))</f>
        <v>260</v>
      </c>
      <c r="B264" s="21">
        <f>IF(A264="","",EDATE('Calculator'!$B$7,A264-1))</f>
        <v>54285</v>
      </c>
      <c r="C264" s="22">
        <f>IF(A264="","",H263)</f>
        <v>147203.9</v>
      </c>
      <c r="D264" s="22">
        <f>IF(A264="","",MIN('Calculator'!$B$10,C264+E264))</f>
        <v>1896.21</v>
      </c>
      <c r="E264" s="22">
        <f>IF(A264="","",ROUND(C264*'Calculator'!$B$5/12,2))</f>
        <v>797.35</v>
      </c>
      <c r="F264" s="22">
        <f>IF(A264="","",D264-E264)</f>
        <v>1098.86</v>
      </c>
      <c r="G264" s="22">
        <f>IF(A264="","",MAX(0,MIN(N('Calculator'!$B$8),C264-F264)))</f>
        <v>0</v>
      </c>
      <c r="H264" s="23">
        <f>IF(A264="","",ROUND(C264-F264-G264,2))</f>
        <v>146105.04</v>
      </c>
      <c r="I264" s="20">
        <f>IF(A264="","",ROUNDUP(A264/12,0))</f>
        <v>22</v>
      </c>
    </row>
    <row r="265" spans="1:9" x14ac:dyDescent="0.25">
      <c r="A265" s="20">
        <f>IF(H264="","",IF(H264&gt;0.005,A264+1,""))</f>
        <v>261</v>
      </c>
      <c r="B265" s="21">
        <f>IF(A265="","",EDATE('Calculator'!$B$7,A265-1))</f>
        <v>54316</v>
      </c>
      <c r="C265" s="22">
        <f>IF(A265="","",H264)</f>
        <v>146105.04</v>
      </c>
      <c r="D265" s="22">
        <f>IF(A265="","",MIN('Calculator'!$B$10,C265+E265))</f>
        <v>1896.21</v>
      </c>
      <c r="E265" s="22">
        <f>IF(A265="","",ROUND(C265*'Calculator'!$B$5/12,2))</f>
        <v>791.4</v>
      </c>
      <c r="F265" s="22">
        <f>IF(A265="","",D265-E265)</f>
        <v>1104.81</v>
      </c>
      <c r="G265" s="22">
        <f>IF(A265="","",MAX(0,MIN(N('Calculator'!$B$8),C265-F265)))</f>
        <v>0</v>
      </c>
      <c r="H265" s="23">
        <f>IF(A265="","",ROUND(C265-F265-G265,2))</f>
        <v>145000.23</v>
      </c>
      <c r="I265" s="20">
        <f>IF(A265="","",ROUNDUP(A265/12,0))</f>
        <v>22</v>
      </c>
    </row>
    <row r="266" spans="1:9" x14ac:dyDescent="0.25">
      <c r="A266" s="20">
        <f>IF(H265="","",IF(H265&gt;0.005,A265+1,""))</f>
        <v>262</v>
      </c>
      <c r="B266" s="21">
        <f>IF(A266="","",EDATE('Calculator'!$B$7,A266-1))</f>
        <v>54346</v>
      </c>
      <c r="C266" s="22">
        <f>IF(A266="","",H265)</f>
        <v>145000.23</v>
      </c>
      <c r="D266" s="22">
        <f>IF(A266="","",MIN('Calculator'!$B$10,C266+E266))</f>
        <v>1896.21</v>
      </c>
      <c r="E266" s="22">
        <f>IF(A266="","",ROUND(C266*'Calculator'!$B$5/12,2))</f>
        <v>785.42</v>
      </c>
      <c r="F266" s="22">
        <f>IF(A266="","",D266-E266)</f>
        <v>1110.79</v>
      </c>
      <c r="G266" s="22">
        <f>IF(A266="","",MAX(0,MIN(N('Calculator'!$B$8),C266-F266)))</f>
        <v>0</v>
      </c>
      <c r="H266" s="23">
        <f>IF(A266="","",ROUND(C266-F266-G266,2))</f>
        <v>143889.44</v>
      </c>
      <c r="I266" s="20">
        <f>IF(A266="","",ROUNDUP(A266/12,0))</f>
        <v>22</v>
      </c>
    </row>
    <row r="267" spans="1:9" x14ac:dyDescent="0.25">
      <c r="A267" s="20">
        <f>IF(H266="","",IF(H266&gt;0.005,A266+1,""))</f>
        <v>263</v>
      </c>
      <c r="B267" s="21">
        <f>IF(A267="","",EDATE('Calculator'!$B$7,A267-1))</f>
        <v>54377</v>
      </c>
      <c r="C267" s="22">
        <f>IF(A267="","",H266)</f>
        <v>143889.44</v>
      </c>
      <c r="D267" s="22">
        <f>IF(A267="","",MIN('Calculator'!$B$10,C267+E267))</f>
        <v>1896.21</v>
      </c>
      <c r="E267" s="22">
        <f>IF(A267="","",ROUND(C267*'Calculator'!$B$5/12,2))</f>
        <v>779.4</v>
      </c>
      <c r="F267" s="22">
        <f>IF(A267="","",D267-E267)</f>
        <v>1116.81</v>
      </c>
      <c r="G267" s="22">
        <f>IF(A267="","",MAX(0,MIN(N('Calculator'!$B$8),C267-F267)))</f>
        <v>0</v>
      </c>
      <c r="H267" s="23">
        <f>IF(A267="","",ROUND(C267-F267-G267,2))</f>
        <v>142772.63</v>
      </c>
      <c r="I267" s="20">
        <f>IF(A267="","",ROUNDUP(A267/12,0))</f>
        <v>22</v>
      </c>
    </row>
    <row r="268" spans="1:9" x14ac:dyDescent="0.25">
      <c r="A268" s="20">
        <f>IF(H267="","",IF(H267&gt;0.005,A267+1,""))</f>
        <v>264</v>
      </c>
      <c r="B268" s="21">
        <f>IF(A268="","",EDATE('Calculator'!$B$7,A268-1))</f>
        <v>54407</v>
      </c>
      <c r="C268" s="22">
        <f>IF(A268="","",H267)</f>
        <v>142772.63</v>
      </c>
      <c r="D268" s="22">
        <f>IF(A268="","",MIN('Calculator'!$B$10,C268+E268))</f>
        <v>1896.21</v>
      </c>
      <c r="E268" s="22">
        <f>IF(A268="","",ROUND(C268*'Calculator'!$B$5/12,2))</f>
        <v>773.35</v>
      </c>
      <c r="F268" s="22">
        <f>IF(A268="","",D268-E268)</f>
        <v>1122.86</v>
      </c>
      <c r="G268" s="22">
        <f>IF(A268="","",MAX(0,MIN(N('Calculator'!$B$8),C268-F268)))</f>
        <v>0</v>
      </c>
      <c r="H268" s="23">
        <f>IF(A268="","",ROUND(C268-F268-G268,2))</f>
        <v>141649.77</v>
      </c>
      <c r="I268" s="20">
        <f>IF(A268="","",ROUNDUP(A268/12,0))</f>
        <v>22</v>
      </c>
    </row>
    <row r="269" spans="1:9" x14ac:dyDescent="0.25">
      <c r="A269" s="20">
        <f>IF(H268="","",IF(H268&gt;0.005,A268+1,""))</f>
        <v>265</v>
      </c>
      <c r="B269" s="21">
        <f>IF(A269="","",EDATE('Calculator'!$B$7,A269-1))</f>
        <v>54438</v>
      </c>
      <c r="C269" s="22">
        <f>IF(A269="","",H268)</f>
        <v>141649.77</v>
      </c>
      <c r="D269" s="22">
        <f>IF(A269="","",MIN('Calculator'!$B$10,C269+E269))</f>
        <v>1896.21</v>
      </c>
      <c r="E269" s="22">
        <f>IF(A269="","",ROUND(C269*'Calculator'!$B$5/12,2))</f>
        <v>767.27</v>
      </c>
      <c r="F269" s="22">
        <f>IF(A269="","",D269-E269)</f>
        <v>1128.94</v>
      </c>
      <c r="G269" s="22">
        <f>IF(A269="","",MAX(0,MIN(N('Calculator'!$B$8),C269-F269)))</f>
        <v>0</v>
      </c>
      <c r="H269" s="23">
        <f>IF(A269="","",ROUND(C269-F269-G269,2))</f>
        <v>140520.83</v>
      </c>
      <c r="I269" s="20">
        <f>IF(A269="","",ROUNDUP(A269/12,0))</f>
        <v>23</v>
      </c>
    </row>
    <row r="270" spans="1:9" x14ac:dyDescent="0.25">
      <c r="A270" s="20">
        <f>IF(H269="","",IF(H269&gt;0.005,A269+1,""))</f>
        <v>266</v>
      </c>
      <c r="B270" s="21">
        <f>IF(A270="","",EDATE('Calculator'!$B$7,A270-1))</f>
        <v>54469</v>
      </c>
      <c r="C270" s="22">
        <f>IF(A270="","",H269)</f>
        <v>140520.83</v>
      </c>
      <c r="D270" s="22">
        <f>IF(A270="","",MIN('Calculator'!$B$10,C270+E270))</f>
        <v>1896.21</v>
      </c>
      <c r="E270" s="22">
        <f>IF(A270="","",ROUND(C270*'Calculator'!$B$5/12,2))</f>
        <v>761.15</v>
      </c>
      <c r="F270" s="22">
        <f>IF(A270="","",D270-E270)</f>
        <v>1135.06</v>
      </c>
      <c r="G270" s="22">
        <f>IF(A270="","",MAX(0,MIN(N('Calculator'!$B$8),C270-F270)))</f>
        <v>0</v>
      </c>
      <c r="H270" s="23">
        <f>IF(A270="","",ROUND(C270-F270-G270,2))</f>
        <v>139385.77</v>
      </c>
      <c r="I270" s="20">
        <f>IF(A270="","",ROUNDUP(A270/12,0))</f>
        <v>23</v>
      </c>
    </row>
    <row r="271" spans="1:9" x14ac:dyDescent="0.25">
      <c r="A271" s="20">
        <f>IF(H270="","",IF(H270&gt;0.005,A270+1,""))</f>
        <v>267</v>
      </c>
      <c r="B271" s="21">
        <f>IF(A271="","",EDATE('Calculator'!$B$7,A271-1))</f>
        <v>54497</v>
      </c>
      <c r="C271" s="22">
        <f>IF(A271="","",H270)</f>
        <v>139385.77</v>
      </c>
      <c r="D271" s="22">
        <f>IF(A271="","",MIN('Calculator'!$B$10,C271+E271))</f>
        <v>1896.21</v>
      </c>
      <c r="E271" s="22">
        <f>IF(A271="","",ROUND(C271*'Calculator'!$B$5/12,2))</f>
        <v>755.01</v>
      </c>
      <c r="F271" s="22">
        <f>IF(A271="","",D271-E271)</f>
        <v>1141.2</v>
      </c>
      <c r="G271" s="22">
        <f>IF(A271="","",MAX(0,MIN(N('Calculator'!$B$8),C271-F271)))</f>
        <v>0</v>
      </c>
      <c r="H271" s="23">
        <f>IF(A271="","",ROUND(C271-F271-G271,2))</f>
        <v>138244.57</v>
      </c>
      <c r="I271" s="20">
        <f>IF(A271="","",ROUNDUP(A271/12,0))</f>
        <v>23</v>
      </c>
    </row>
    <row r="272" spans="1:9" x14ac:dyDescent="0.25">
      <c r="A272" s="20">
        <f>IF(H271="","",IF(H271&gt;0.005,A271+1,""))</f>
        <v>268</v>
      </c>
      <c r="B272" s="21">
        <f>IF(A272="","",EDATE('Calculator'!$B$7,A272-1))</f>
        <v>54528</v>
      </c>
      <c r="C272" s="22">
        <f>IF(A272="","",H271)</f>
        <v>138244.57</v>
      </c>
      <c r="D272" s="22">
        <f>IF(A272="","",MIN('Calculator'!$B$10,C272+E272))</f>
        <v>1896.21</v>
      </c>
      <c r="E272" s="22">
        <f>IF(A272="","",ROUND(C272*'Calculator'!$B$5/12,2))</f>
        <v>748.82</v>
      </c>
      <c r="F272" s="22">
        <f>IF(A272="","",D272-E272)</f>
        <v>1147.39</v>
      </c>
      <c r="G272" s="22">
        <f>IF(A272="","",MAX(0,MIN(N('Calculator'!$B$8),C272-F272)))</f>
        <v>0</v>
      </c>
      <c r="H272" s="23">
        <f>IF(A272="","",ROUND(C272-F272-G272,2))</f>
        <v>137097.18</v>
      </c>
      <c r="I272" s="20">
        <f>IF(A272="","",ROUNDUP(A272/12,0))</f>
        <v>23</v>
      </c>
    </row>
    <row r="273" spans="1:9" x14ac:dyDescent="0.25">
      <c r="A273" s="20">
        <f>IF(H272="","",IF(H272&gt;0.005,A272+1,""))</f>
        <v>269</v>
      </c>
      <c r="B273" s="21">
        <f>IF(A273="","",EDATE('Calculator'!$B$7,A273-1))</f>
        <v>54558</v>
      </c>
      <c r="C273" s="22">
        <f>IF(A273="","",H272)</f>
        <v>137097.18</v>
      </c>
      <c r="D273" s="22">
        <f>IF(A273="","",MIN('Calculator'!$B$10,C273+E273))</f>
        <v>1896.21</v>
      </c>
      <c r="E273" s="22">
        <f>IF(A273="","",ROUND(C273*'Calculator'!$B$5/12,2))</f>
        <v>742.61</v>
      </c>
      <c r="F273" s="22">
        <f>IF(A273="","",D273-E273)</f>
        <v>1153.6</v>
      </c>
      <c r="G273" s="22">
        <f>IF(A273="","",MAX(0,MIN(N('Calculator'!$B$8),C273-F273)))</f>
        <v>0</v>
      </c>
      <c r="H273" s="23">
        <f>IF(A273="","",ROUND(C273-F273-G273,2))</f>
        <v>135943.58</v>
      </c>
      <c r="I273" s="20">
        <f>IF(A273="","",ROUNDUP(A273/12,0))</f>
        <v>23</v>
      </c>
    </row>
    <row r="274" spans="1:9" x14ac:dyDescent="0.25">
      <c r="A274" s="20">
        <f>IF(H273="","",IF(H273&gt;0.005,A273+1,""))</f>
        <v>270</v>
      </c>
      <c r="B274" s="21">
        <f>IF(A274="","",EDATE('Calculator'!$B$7,A274-1))</f>
        <v>54589</v>
      </c>
      <c r="C274" s="22">
        <f>IF(A274="","",H273)</f>
        <v>135943.58</v>
      </c>
      <c r="D274" s="22">
        <f>IF(A274="","",MIN('Calculator'!$B$10,C274+E274))</f>
        <v>1896.21</v>
      </c>
      <c r="E274" s="22">
        <f>IF(A274="","",ROUND(C274*'Calculator'!$B$5/12,2))</f>
        <v>736.36</v>
      </c>
      <c r="F274" s="22">
        <f>IF(A274="","",D274-E274)</f>
        <v>1159.85</v>
      </c>
      <c r="G274" s="22">
        <f>IF(A274="","",MAX(0,MIN(N('Calculator'!$B$8),C274-F274)))</f>
        <v>0</v>
      </c>
      <c r="H274" s="23">
        <f>IF(A274="","",ROUND(C274-F274-G274,2))</f>
        <v>134783.73</v>
      </c>
      <c r="I274" s="20">
        <f>IF(A274="","",ROUNDUP(A274/12,0))</f>
        <v>23</v>
      </c>
    </row>
    <row r="275" spans="1:9" x14ac:dyDescent="0.25">
      <c r="A275" s="20">
        <f>IF(H274="","",IF(H274&gt;0.005,A274+1,""))</f>
        <v>271</v>
      </c>
      <c r="B275" s="21">
        <f>IF(A275="","",EDATE('Calculator'!$B$7,A275-1))</f>
        <v>54619</v>
      </c>
      <c r="C275" s="22">
        <f>IF(A275="","",H274)</f>
        <v>134783.73</v>
      </c>
      <c r="D275" s="22">
        <f>IF(A275="","",MIN('Calculator'!$B$10,C275+E275))</f>
        <v>1896.21</v>
      </c>
      <c r="E275" s="22">
        <f>IF(A275="","",ROUND(C275*'Calculator'!$B$5/12,2))</f>
        <v>730.08</v>
      </c>
      <c r="F275" s="22">
        <f>IF(A275="","",D275-E275)</f>
        <v>1166.13</v>
      </c>
      <c r="G275" s="22">
        <f>IF(A275="","",MAX(0,MIN(N('Calculator'!$B$8),C275-F275)))</f>
        <v>0</v>
      </c>
      <c r="H275" s="23">
        <f>IF(A275="","",ROUND(C275-F275-G275,2))</f>
        <v>133617.6</v>
      </c>
      <c r="I275" s="20">
        <f>IF(A275="","",ROUNDUP(A275/12,0))</f>
        <v>23</v>
      </c>
    </row>
    <row r="276" spans="1:9" x14ac:dyDescent="0.25">
      <c r="A276" s="20">
        <f>IF(H275="","",IF(H275&gt;0.005,A275+1,""))</f>
        <v>272</v>
      </c>
      <c r="B276" s="21">
        <f>IF(A276="","",EDATE('Calculator'!$B$7,A276-1))</f>
        <v>54650</v>
      </c>
      <c r="C276" s="22">
        <f>IF(A276="","",H275)</f>
        <v>133617.6</v>
      </c>
      <c r="D276" s="22">
        <f>IF(A276="","",MIN('Calculator'!$B$10,C276+E276))</f>
        <v>1896.21</v>
      </c>
      <c r="E276" s="22">
        <f>IF(A276="","",ROUND(C276*'Calculator'!$B$5/12,2))</f>
        <v>723.76</v>
      </c>
      <c r="F276" s="22">
        <f>IF(A276="","",D276-E276)</f>
        <v>1172.45</v>
      </c>
      <c r="G276" s="22">
        <f>IF(A276="","",MAX(0,MIN(N('Calculator'!$B$8),C276-F276)))</f>
        <v>0</v>
      </c>
      <c r="H276" s="23">
        <f>IF(A276="","",ROUND(C276-F276-G276,2))</f>
        <v>132445.15</v>
      </c>
      <c r="I276" s="20">
        <f>IF(A276="","",ROUNDUP(A276/12,0))</f>
        <v>23</v>
      </c>
    </row>
    <row r="277" spans="1:9" x14ac:dyDescent="0.25">
      <c r="A277" s="20">
        <f>IF(H276="","",IF(H276&gt;0.005,A276+1,""))</f>
        <v>273</v>
      </c>
      <c r="B277" s="21">
        <f>IF(A277="","",EDATE('Calculator'!$B$7,A277-1))</f>
        <v>54681</v>
      </c>
      <c r="C277" s="22">
        <f>IF(A277="","",H276)</f>
        <v>132445.15</v>
      </c>
      <c r="D277" s="22">
        <f>IF(A277="","",MIN('Calculator'!$B$10,C277+E277))</f>
        <v>1896.21</v>
      </c>
      <c r="E277" s="22">
        <f>IF(A277="","",ROUND(C277*'Calculator'!$B$5/12,2))</f>
        <v>717.41</v>
      </c>
      <c r="F277" s="22">
        <f>IF(A277="","",D277-E277)</f>
        <v>1178.8</v>
      </c>
      <c r="G277" s="22">
        <f>IF(A277="","",MAX(0,MIN(N('Calculator'!$B$8),C277-F277)))</f>
        <v>0</v>
      </c>
      <c r="H277" s="23">
        <f>IF(A277="","",ROUND(C277-F277-G277,2))</f>
        <v>131266.35</v>
      </c>
      <c r="I277" s="20">
        <f>IF(A277="","",ROUNDUP(A277/12,0))</f>
        <v>23</v>
      </c>
    </row>
    <row r="278" spans="1:9" x14ac:dyDescent="0.25">
      <c r="A278" s="20">
        <f>IF(H277="","",IF(H277&gt;0.005,A277+1,""))</f>
        <v>274</v>
      </c>
      <c r="B278" s="21">
        <f>IF(A278="","",EDATE('Calculator'!$B$7,A278-1))</f>
        <v>54711</v>
      </c>
      <c r="C278" s="22">
        <f>IF(A278="","",H277)</f>
        <v>131266.35</v>
      </c>
      <c r="D278" s="22">
        <f>IF(A278="","",MIN('Calculator'!$B$10,C278+E278))</f>
        <v>1896.21</v>
      </c>
      <c r="E278" s="22">
        <f>IF(A278="","",ROUND(C278*'Calculator'!$B$5/12,2))</f>
        <v>711.03</v>
      </c>
      <c r="F278" s="22">
        <f>IF(A278="","",D278-E278)</f>
        <v>1185.18</v>
      </c>
      <c r="G278" s="22">
        <f>IF(A278="","",MAX(0,MIN(N('Calculator'!$B$8),C278-F278)))</f>
        <v>0</v>
      </c>
      <c r="H278" s="23">
        <f>IF(A278="","",ROUND(C278-F278-G278,2))</f>
        <v>130081.17</v>
      </c>
      <c r="I278" s="20">
        <f>IF(A278="","",ROUNDUP(A278/12,0))</f>
        <v>23</v>
      </c>
    </row>
    <row r="279" spans="1:9" x14ac:dyDescent="0.25">
      <c r="A279" s="20">
        <f>IF(H278="","",IF(H278&gt;0.005,A278+1,""))</f>
        <v>275</v>
      </c>
      <c r="B279" s="21">
        <f>IF(A279="","",EDATE('Calculator'!$B$7,A279-1))</f>
        <v>54742</v>
      </c>
      <c r="C279" s="22">
        <f>IF(A279="","",H278)</f>
        <v>130081.17</v>
      </c>
      <c r="D279" s="22">
        <f>IF(A279="","",MIN('Calculator'!$B$10,C279+E279))</f>
        <v>1896.21</v>
      </c>
      <c r="E279" s="22">
        <f>IF(A279="","",ROUND(C279*'Calculator'!$B$5/12,2))</f>
        <v>704.61</v>
      </c>
      <c r="F279" s="22">
        <f>IF(A279="","",D279-E279)</f>
        <v>1191.6</v>
      </c>
      <c r="G279" s="22">
        <f>IF(A279="","",MAX(0,MIN(N('Calculator'!$B$8),C279-F279)))</f>
        <v>0</v>
      </c>
      <c r="H279" s="23">
        <f>IF(A279="","",ROUND(C279-F279-G279,2))</f>
        <v>128889.57</v>
      </c>
      <c r="I279" s="20">
        <f>IF(A279="","",ROUNDUP(A279/12,0))</f>
        <v>23</v>
      </c>
    </row>
    <row r="280" spans="1:9" x14ac:dyDescent="0.25">
      <c r="A280" s="20">
        <f>IF(H279="","",IF(H279&gt;0.005,A279+1,""))</f>
        <v>276</v>
      </c>
      <c r="B280" s="21">
        <f>IF(A280="","",EDATE('Calculator'!$B$7,A280-1))</f>
        <v>54772</v>
      </c>
      <c r="C280" s="22">
        <f>IF(A280="","",H279)</f>
        <v>128889.57</v>
      </c>
      <c r="D280" s="22">
        <f>IF(A280="","",MIN('Calculator'!$B$10,C280+E280))</f>
        <v>1896.21</v>
      </c>
      <c r="E280" s="22">
        <f>IF(A280="","",ROUND(C280*'Calculator'!$B$5/12,2))</f>
        <v>698.15</v>
      </c>
      <c r="F280" s="22">
        <f>IF(A280="","",D280-E280)</f>
        <v>1198.06</v>
      </c>
      <c r="G280" s="22">
        <f>IF(A280="","",MAX(0,MIN(N('Calculator'!$B$8),C280-F280)))</f>
        <v>0</v>
      </c>
      <c r="H280" s="23">
        <f>IF(A280="","",ROUND(C280-F280-G280,2))</f>
        <v>127691.51</v>
      </c>
      <c r="I280" s="20">
        <f>IF(A280="","",ROUNDUP(A280/12,0))</f>
        <v>23</v>
      </c>
    </row>
    <row r="281" spans="1:9" x14ac:dyDescent="0.25">
      <c r="A281" s="20">
        <f>IF(H280="","",IF(H280&gt;0.005,A280+1,""))</f>
        <v>277</v>
      </c>
      <c r="B281" s="21">
        <f>IF(A281="","",EDATE('Calculator'!$B$7,A281-1))</f>
        <v>54803</v>
      </c>
      <c r="C281" s="22">
        <f>IF(A281="","",H280)</f>
        <v>127691.51</v>
      </c>
      <c r="D281" s="22">
        <f>IF(A281="","",MIN('Calculator'!$B$10,C281+E281))</f>
        <v>1896.21</v>
      </c>
      <c r="E281" s="22">
        <f>IF(A281="","",ROUND(C281*'Calculator'!$B$5/12,2))</f>
        <v>691.66</v>
      </c>
      <c r="F281" s="22">
        <f>IF(A281="","",D281-E281)</f>
        <v>1204.55</v>
      </c>
      <c r="G281" s="22">
        <f>IF(A281="","",MAX(0,MIN(N('Calculator'!$B$8),C281-F281)))</f>
        <v>0</v>
      </c>
      <c r="H281" s="23">
        <f>IF(A281="","",ROUND(C281-F281-G281,2))</f>
        <v>126486.96</v>
      </c>
      <c r="I281" s="20">
        <f>IF(A281="","",ROUNDUP(A281/12,0))</f>
        <v>24</v>
      </c>
    </row>
    <row r="282" spans="1:9" x14ac:dyDescent="0.25">
      <c r="A282" s="20">
        <f>IF(H281="","",IF(H281&gt;0.005,A281+1,""))</f>
        <v>278</v>
      </c>
      <c r="B282" s="21">
        <f>IF(A282="","",EDATE('Calculator'!$B$7,A282-1))</f>
        <v>54834</v>
      </c>
      <c r="C282" s="22">
        <f>IF(A282="","",H281)</f>
        <v>126486.96</v>
      </c>
      <c r="D282" s="22">
        <f>IF(A282="","",MIN('Calculator'!$B$10,C282+E282))</f>
        <v>1896.21</v>
      </c>
      <c r="E282" s="22">
        <f>IF(A282="","",ROUND(C282*'Calculator'!$B$5/12,2))</f>
        <v>685.14</v>
      </c>
      <c r="F282" s="22">
        <f>IF(A282="","",D282-E282)</f>
        <v>1211.07</v>
      </c>
      <c r="G282" s="22">
        <f>IF(A282="","",MAX(0,MIN(N('Calculator'!$B$8),C282-F282)))</f>
        <v>0</v>
      </c>
      <c r="H282" s="23">
        <f>IF(A282="","",ROUND(C282-F282-G282,2))</f>
        <v>125275.89</v>
      </c>
      <c r="I282" s="20">
        <f>IF(A282="","",ROUNDUP(A282/12,0))</f>
        <v>24</v>
      </c>
    </row>
    <row r="283" spans="1:9" x14ac:dyDescent="0.25">
      <c r="A283" s="20">
        <f>IF(H282="","",IF(H282&gt;0.005,A282+1,""))</f>
        <v>279</v>
      </c>
      <c r="B283" s="21">
        <f>IF(A283="","",EDATE('Calculator'!$B$7,A283-1))</f>
        <v>54862</v>
      </c>
      <c r="C283" s="22">
        <f>IF(A283="","",H282)</f>
        <v>125275.89</v>
      </c>
      <c r="D283" s="22">
        <f>IF(A283="","",MIN('Calculator'!$B$10,C283+E283))</f>
        <v>1896.21</v>
      </c>
      <c r="E283" s="22">
        <f>IF(A283="","",ROUND(C283*'Calculator'!$B$5/12,2))</f>
        <v>678.58</v>
      </c>
      <c r="F283" s="22">
        <f>IF(A283="","",D283-E283)</f>
        <v>1217.63</v>
      </c>
      <c r="G283" s="22">
        <f>IF(A283="","",MAX(0,MIN(N('Calculator'!$B$8),C283-F283)))</f>
        <v>0</v>
      </c>
      <c r="H283" s="23">
        <f>IF(A283="","",ROUND(C283-F283-G283,2))</f>
        <v>124058.26</v>
      </c>
      <c r="I283" s="20">
        <f>IF(A283="","",ROUNDUP(A283/12,0))</f>
        <v>24</v>
      </c>
    </row>
    <row r="284" spans="1:9" x14ac:dyDescent="0.25">
      <c r="A284" s="20">
        <f>IF(H283="","",IF(H283&gt;0.005,A283+1,""))</f>
        <v>280</v>
      </c>
      <c r="B284" s="21">
        <f>IF(A284="","",EDATE('Calculator'!$B$7,A284-1))</f>
        <v>54893</v>
      </c>
      <c r="C284" s="22">
        <f>IF(A284="","",H283)</f>
        <v>124058.26</v>
      </c>
      <c r="D284" s="22">
        <f>IF(A284="","",MIN('Calculator'!$B$10,C284+E284))</f>
        <v>1896.21</v>
      </c>
      <c r="E284" s="22">
        <f>IF(A284="","",ROUND(C284*'Calculator'!$B$5/12,2))</f>
        <v>671.98</v>
      </c>
      <c r="F284" s="22">
        <f>IF(A284="","",D284-E284)</f>
        <v>1224.23</v>
      </c>
      <c r="G284" s="22">
        <f>IF(A284="","",MAX(0,MIN(N('Calculator'!$B$8),C284-F284)))</f>
        <v>0</v>
      </c>
      <c r="H284" s="23">
        <f>IF(A284="","",ROUND(C284-F284-G284,2))</f>
        <v>122834.03</v>
      </c>
      <c r="I284" s="20">
        <f>IF(A284="","",ROUNDUP(A284/12,0))</f>
        <v>24</v>
      </c>
    </row>
    <row r="285" spans="1:9" x14ac:dyDescent="0.25">
      <c r="A285" s="20">
        <f>IF(H284="","",IF(H284&gt;0.005,A284+1,""))</f>
        <v>281</v>
      </c>
      <c r="B285" s="21">
        <f>IF(A285="","",EDATE('Calculator'!$B$7,A285-1))</f>
        <v>54923</v>
      </c>
      <c r="C285" s="22">
        <f>IF(A285="","",H284)</f>
        <v>122834.03</v>
      </c>
      <c r="D285" s="22">
        <f>IF(A285="","",MIN('Calculator'!$B$10,C285+E285))</f>
        <v>1896.21</v>
      </c>
      <c r="E285" s="22">
        <f>IF(A285="","",ROUND(C285*'Calculator'!$B$5/12,2))</f>
        <v>665.35</v>
      </c>
      <c r="F285" s="22">
        <f>IF(A285="","",D285-E285)</f>
        <v>1230.86</v>
      </c>
      <c r="G285" s="22">
        <f>IF(A285="","",MAX(0,MIN(N('Calculator'!$B$8),C285-F285)))</f>
        <v>0</v>
      </c>
      <c r="H285" s="23">
        <f>IF(A285="","",ROUND(C285-F285-G285,2))</f>
        <v>121603.17</v>
      </c>
      <c r="I285" s="20">
        <f>IF(A285="","",ROUNDUP(A285/12,0))</f>
        <v>24</v>
      </c>
    </row>
    <row r="286" spans="1:9" x14ac:dyDescent="0.25">
      <c r="A286" s="20">
        <f>IF(H285="","",IF(H285&gt;0.005,A285+1,""))</f>
        <v>282</v>
      </c>
      <c r="B286" s="21">
        <f>IF(A286="","",EDATE('Calculator'!$B$7,A286-1))</f>
        <v>54954</v>
      </c>
      <c r="C286" s="22">
        <f>IF(A286="","",H285)</f>
        <v>121603.17</v>
      </c>
      <c r="D286" s="22">
        <f>IF(A286="","",MIN('Calculator'!$B$10,C286+E286))</f>
        <v>1896.21</v>
      </c>
      <c r="E286" s="22">
        <f>IF(A286="","",ROUND(C286*'Calculator'!$B$5/12,2))</f>
        <v>658.68</v>
      </c>
      <c r="F286" s="22">
        <f>IF(A286="","",D286-E286)</f>
        <v>1237.53</v>
      </c>
      <c r="G286" s="22">
        <f>IF(A286="","",MAX(0,MIN(N('Calculator'!$B$8),C286-F286)))</f>
        <v>0</v>
      </c>
      <c r="H286" s="23">
        <f>IF(A286="","",ROUND(C286-F286-G286,2))</f>
        <v>120365.64</v>
      </c>
      <c r="I286" s="20">
        <f>IF(A286="","",ROUNDUP(A286/12,0))</f>
        <v>24</v>
      </c>
    </row>
    <row r="287" spans="1:9" x14ac:dyDescent="0.25">
      <c r="A287" s="20">
        <f>IF(H286="","",IF(H286&gt;0.005,A286+1,""))</f>
        <v>283</v>
      </c>
      <c r="B287" s="21">
        <f>IF(A287="","",EDATE('Calculator'!$B$7,A287-1))</f>
        <v>54984</v>
      </c>
      <c r="C287" s="22">
        <f>IF(A287="","",H286)</f>
        <v>120365.64</v>
      </c>
      <c r="D287" s="22">
        <f>IF(A287="","",MIN('Calculator'!$B$10,C287+E287))</f>
        <v>1896.21</v>
      </c>
      <c r="E287" s="22">
        <f>IF(A287="","",ROUND(C287*'Calculator'!$B$5/12,2))</f>
        <v>651.98</v>
      </c>
      <c r="F287" s="22">
        <f>IF(A287="","",D287-E287)</f>
        <v>1244.23</v>
      </c>
      <c r="G287" s="22">
        <f>IF(A287="","",MAX(0,MIN(N('Calculator'!$B$8),C287-F287)))</f>
        <v>0</v>
      </c>
      <c r="H287" s="23">
        <f>IF(A287="","",ROUND(C287-F287-G287,2))</f>
        <v>119121.41</v>
      </c>
      <c r="I287" s="20">
        <f>IF(A287="","",ROUNDUP(A287/12,0))</f>
        <v>24</v>
      </c>
    </row>
    <row r="288" spans="1:9" x14ac:dyDescent="0.25">
      <c r="A288" s="20">
        <f>IF(H287="","",IF(H287&gt;0.005,A287+1,""))</f>
        <v>284</v>
      </c>
      <c r="B288" s="21">
        <f>IF(A288="","",EDATE('Calculator'!$B$7,A288-1))</f>
        <v>55015</v>
      </c>
      <c r="C288" s="22">
        <f>IF(A288="","",H287)</f>
        <v>119121.41</v>
      </c>
      <c r="D288" s="22">
        <f>IF(A288="","",MIN('Calculator'!$B$10,C288+E288))</f>
        <v>1896.21</v>
      </c>
      <c r="E288" s="22">
        <f>IF(A288="","",ROUND(C288*'Calculator'!$B$5/12,2))</f>
        <v>645.24</v>
      </c>
      <c r="F288" s="22">
        <f>IF(A288="","",D288-E288)</f>
        <v>1250.97</v>
      </c>
      <c r="G288" s="22">
        <f>IF(A288="","",MAX(0,MIN(N('Calculator'!$B$8),C288-F288)))</f>
        <v>0</v>
      </c>
      <c r="H288" s="23">
        <f>IF(A288="","",ROUND(C288-F288-G288,2))</f>
        <v>117870.44</v>
      </c>
      <c r="I288" s="20">
        <f>IF(A288="","",ROUNDUP(A288/12,0))</f>
        <v>24</v>
      </c>
    </row>
    <row r="289" spans="1:9" x14ac:dyDescent="0.25">
      <c r="A289" s="20">
        <f>IF(H288="","",IF(H288&gt;0.005,A288+1,""))</f>
        <v>285</v>
      </c>
      <c r="B289" s="21">
        <f>IF(A289="","",EDATE('Calculator'!$B$7,A289-1))</f>
        <v>55046</v>
      </c>
      <c r="C289" s="22">
        <f>IF(A289="","",H288)</f>
        <v>117870.44</v>
      </c>
      <c r="D289" s="22">
        <f>IF(A289="","",MIN('Calculator'!$B$10,C289+E289))</f>
        <v>1896.21</v>
      </c>
      <c r="E289" s="22">
        <f>IF(A289="","",ROUND(C289*'Calculator'!$B$5/12,2))</f>
        <v>638.46</v>
      </c>
      <c r="F289" s="22">
        <f>IF(A289="","",D289-E289)</f>
        <v>1257.75</v>
      </c>
      <c r="G289" s="22">
        <f>IF(A289="","",MAX(0,MIN(N('Calculator'!$B$8),C289-F289)))</f>
        <v>0</v>
      </c>
      <c r="H289" s="23">
        <f>IF(A289="","",ROUND(C289-F289-G289,2))</f>
        <v>116612.69</v>
      </c>
      <c r="I289" s="20">
        <f>IF(A289="","",ROUNDUP(A289/12,0))</f>
        <v>24</v>
      </c>
    </row>
    <row r="290" spans="1:9" x14ac:dyDescent="0.25">
      <c r="A290" s="20">
        <f>IF(H289="","",IF(H289&gt;0.005,A289+1,""))</f>
        <v>286</v>
      </c>
      <c r="B290" s="21">
        <f>IF(A290="","",EDATE('Calculator'!$B$7,A290-1))</f>
        <v>55076</v>
      </c>
      <c r="C290" s="22">
        <f>IF(A290="","",H289)</f>
        <v>116612.69</v>
      </c>
      <c r="D290" s="22">
        <f>IF(A290="","",MIN('Calculator'!$B$10,C290+E290))</f>
        <v>1896.21</v>
      </c>
      <c r="E290" s="22">
        <f>IF(A290="","",ROUND(C290*'Calculator'!$B$5/12,2))</f>
        <v>631.65</v>
      </c>
      <c r="F290" s="22">
        <f>IF(A290="","",D290-E290)</f>
        <v>1264.56</v>
      </c>
      <c r="G290" s="22">
        <f>IF(A290="","",MAX(0,MIN(N('Calculator'!$B$8),C290-F290)))</f>
        <v>0</v>
      </c>
      <c r="H290" s="23">
        <f>IF(A290="","",ROUND(C290-F290-G290,2))</f>
        <v>115348.13</v>
      </c>
      <c r="I290" s="20">
        <f>IF(A290="","",ROUNDUP(A290/12,0))</f>
        <v>24</v>
      </c>
    </row>
    <row r="291" spans="1:9" x14ac:dyDescent="0.25">
      <c r="A291" s="20">
        <f>IF(H290="","",IF(H290&gt;0.005,A290+1,""))</f>
        <v>287</v>
      </c>
      <c r="B291" s="21">
        <f>IF(A291="","",EDATE('Calculator'!$B$7,A291-1))</f>
        <v>55107</v>
      </c>
      <c r="C291" s="22">
        <f>IF(A291="","",H290)</f>
        <v>115348.13</v>
      </c>
      <c r="D291" s="22">
        <f>IF(A291="","",MIN('Calculator'!$B$10,C291+E291))</f>
        <v>1896.21</v>
      </c>
      <c r="E291" s="22">
        <f>IF(A291="","",ROUND(C291*'Calculator'!$B$5/12,2))</f>
        <v>624.8</v>
      </c>
      <c r="F291" s="22">
        <f>IF(A291="","",D291-E291)</f>
        <v>1271.41</v>
      </c>
      <c r="G291" s="22">
        <f>IF(A291="","",MAX(0,MIN(N('Calculator'!$B$8),C291-F291)))</f>
        <v>0</v>
      </c>
      <c r="H291" s="23">
        <f>IF(A291="","",ROUND(C291-F291-G291,2))</f>
        <v>114076.72</v>
      </c>
      <c r="I291" s="20">
        <f>IF(A291="","",ROUNDUP(A291/12,0))</f>
        <v>24</v>
      </c>
    </row>
    <row r="292" spans="1:9" x14ac:dyDescent="0.25">
      <c r="A292" s="20">
        <f>IF(H291="","",IF(H291&gt;0.005,A291+1,""))</f>
        <v>288</v>
      </c>
      <c r="B292" s="21">
        <f>IF(A292="","",EDATE('Calculator'!$B$7,A292-1))</f>
        <v>55137</v>
      </c>
      <c r="C292" s="22">
        <f>IF(A292="","",H291)</f>
        <v>114076.72</v>
      </c>
      <c r="D292" s="22">
        <f>IF(A292="","",MIN('Calculator'!$B$10,C292+E292))</f>
        <v>1896.21</v>
      </c>
      <c r="E292" s="22">
        <f>IF(A292="","",ROUND(C292*'Calculator'!$B$5/12,2))</f>
        <v>617.92</v>
      </c>
      <c r="F292" s="22">
        <f>IF(A292="","",D292-E292)</f>
        <v>1278.29</v>
      </c>
      <c r="G292" s="22">
        <f>IF(A292="","",MAX(0,MIN(N('Calculator'!$B$8),C292-F292)))</f>
        <v>0</v>
      </c>
      <c r="H292" s="23">
        <f>IF(A292="","",ROUND(C292-F292-G292,2))</f>
        <v>112798.43</v>
      </c>
      <c r="I292" s="20">
        <f>IF(A292="","",ROUNDUP(A292/12,0))</f>
        <v>24</v>
      </c>
    </row>
    <row r="293" spans="1:9" x14ac:dyDescent="0.25">
      <c r="A293" s="20">
        <f>IF(H292="","",IF(H292&gt;0.005,A292+1,""))</f>
        <v>289</v>
      </c>
      <c r="B293" s="21">
        <f>IF(A293="","",EDATE('Calculator'!$B$7,A293-1))</f>
        <v>55168</v>
      </c>
      <c r="C293" s="22">
        <f>IF(A293="","",H292)</f>
        <v>112798.43</v>
      </c>
      <c r="D293" s="22">
        <f>IF(A293="","",MIN('Calculator'!$B$10,C293+E293))</f>
        <v>1896.21</v>
      </c>
      <c r="E293" s="22">
        <f>IF(A293="","",ROUND(C293*'Calculator'!$B$5/12,2))</f>
        <v>610.99</v>
      </c>
      <c r="F293" s="22">
        <f>IF(A293="","",D293-E293)</f>
        <v>1285.22</v>
      </c>
      <c r="G293" s="22">
        <f>IF(A293="","",MAX(0,MIN(N('Calculator'!$B$8),C293-F293)))</f>
        <v>0</v>
      </c>
      <c r="H293" s="23">
        <f>IF(A293="","",ROUND(C293-F293-G293,2))</f>
        <v>111513.21</v>
      </c>
      <c r="I293" s="20">
        <f>IF(A293="","",ROUNDUP(A293/12,0))</f>
        <v>25</v>
      </c>
    </row>
    <row r="294" spans="1:9" x14ac:dyDescent="0.25">
      <c r="A294" s="20">
        <f>IF(H293="","",IF(H293&gt;0.005,A293+1,""))</f>
        <v>290</v>
      </c>
      <c r="B294" s="21">
        <f>IF(A294="","",EDATE('Calculator'!$B$7,A294-1))</f>
        <v>55199</v>
      </c>
      <c r="C294" s="22">
        <f>IF(A294="","",H293)</f>
        <v>111513.21</v>
      </c>
      <c r="D294" s="22">
        <f>IF(A294="","",MIN('Calculator'!$B$10,C294+E294))</f>
        <v>1896.21</v>
      </c>
      <c r="E294" s="22">
        <f>IF(A294="","",ROUND(C294*'Calculator'!$B$5/12,2))</f>
        <v>604.03</v>
      </c>
      <c r="F294" s="22">
        <f>IF(A294="","",D294-E294)</f>
        <v>1292.18</v>
      </c>
      <c r="G294" s="22">
        <f>IF(A294="","",MAX(0,MIN(N('Calculator'!$B$8),C294-F294)))</f>
        <v>0</v>
      </c>
      <c r="H294" s="23">
        <f>IF(A294="","",ROUND(C294-F294-G294,2))</f>
        <v>110221.03</v>
      </c>
      <c r="I294" s="20">
        <f>IF(A294="","",ROUNDUP(A294/12,0))</f>
        <v>25</v>
      </c>
    </row>
    <row r="295" spans="1:9" x14ac:dyDescent="0.25">
      <c r="A295" s="20">
        <f>IF(H294="","",IF(H294&gt;0.005,A294+1,""))</f>
        <v>291</v>
      </c>
      <c r="B295" s="21">
        <f>IF(A295="","",EDATE('Calculator'!$B$7,A295-1))</f>
        <v>55227</v>
      </c>
      <c r="C295" s="22">
        <f>IF(A295="","",H294)</f>
        <v>110221.03</v>
      </c>
      <c r="D295" s="22">
        <f>IF(A295="","",MIN('Calculator'!$B$10,C295+E295))</f>
        <v>1896.21</v>
      </c>
      <c r="E295" s="22">
        <f>IF(A295="","",ROUND(C295*'Calculator'!$B$5/12,2))</f>
        <v>597.03</v>
      </c>
      <c r="F295" s="22">
        <f>IF(A295="","",D295-E295)</f>
        <v>1299.18</v>
      </c>
      <c r="G295" s="22">
        <f>IF(A295="","",MAX(0,MIN(N('Calculator'!$B$8),C295-F295)))</f>
        <v>0</v>
      </c>
      <c r="H295" s="23">
        <f>IF(A295="","",ROUND(C295-F295-G295,2))</f>
        <v>108921.85</v>
      </c>
      <c r="I295" s="20">
        <f>IF(A295="","",ROUNDUP(A295/12,0))</f>
        <v>25</v>
      </c>
    </row>
    <row r="296" spans="1:9" x14ac:dyDescent="0.25">
      <c r="A296" s="20">
        <f>IF(H295="","",IF(H295&gt;0.005,A295+1,""))</f>
        <v>292</v>
      </c>
      <c r="B296" s="21">
        <f>IF(A296="","",EDATE('Calculator'!$B$7,A296-1))</f>
        <v>55258</v>
      </c>
      <c r="C296" s="22">
        <f>IF(A296="","",H295)</f>
        <v>108921.85</v>
      </c>
      <c r="D296" s="22">
        <f>IF(A296="","",MIN('Calculator'!$B$10,C296+E296))</f>
        <v>1896.21</v>
      </c>
      <c r="E296" s="22">
        <f>IF(A296="","",ROUND(C296*'Calculator'!$B$5/12,2))</f>
        <v>589.99</v>
      </c>
      <c r="F296" s="22">
        <f>IF(A296="","",D296-E296)</f>
        <v>1306.22</v>
      </c>
      <c r="G296" s="22">
        <f>IF(A296="","",MAX(0,MIN(N('Calculator'!$B$8),C296-F296)))</f>
        <v>0</v>
      </c>
      <c r="H296" s="23">
        <f>IF(A296="","",ROUND(C296-F296-G296,2))</f>
        <v>107615.63</v>
      </c>
      <c r="I296" s="20">
        <f>IF(A296="","",ROUNDUP(A296/12,0))</f>
        <v>25</v>
      </c>
    </row>
    <row r="297" spans="1:9" x14ac:dyDescent="0.25">
      <c r="A297" s="20">
        <f>IF(H296="","",IF(H296&gt;0.005,A296+1,""))</f>
        <v>293</v>
      </c>
      <c r="B297" s="21">
        <f>IF(A297="","",EDATE('Calculator'!$B$7,A297-1))</f>
        <v>55288</v>
      </c>
      <c r="C297" s="22">
        <f>IF(A297="","",H296)</f>
        <v>107615.63</v>
      </c>
      <c r="D297" s="22">
        <f>IF(A297="","",MIN('Calculator'!$B$10,C297+E297))</f>
        <v>1896.21</v>
      </c>
      <c r="E297" s="22">
        <f>IF(A297="","",ROUND(C297*'Calculator'!$B$5/12,2))</f>
        <v>582.92</v>
      </c>
      <c r="F297" s="22">
        <f>IF(A297="","",D297-E297)</f>
        <v>1313.29</v>
      </c>
      <c r="G297" s="22">
        <f>IF(A297="","",MAX(0,MIN(N('Calculator'!$B$8),C297-F297)))</f>
        <v>0</v>
      </c>
      <c r="H297" s="23">
        <f>IF(A297="","",ROUND(C297-F297-G297,2))</f>
        <v>106302.34</v>
      </c>
      <c r="I297" s="20">
        <f>IF(A297="","",ROUNDUP(A297/12,0))</f>
        <v>25</v>
      </c>
    </row>
    <row r="298" spans="1:9" x14ac:dyDescent="0.25">
      <c r="A298" s="20">
        <f>IF(H297="","",IF(H297&gt;0.005,A297+1,""))</f>
        <v>294</v>
      </c>
      <c r="B298" s="21">
        <f>IF(A298="","",EDATE('Calculator'!$B$7,A298-1))</f>
        <v>55319</v>
      </c>
      <c r="C298" s="22">
        <f>IF(A298="","",H297)</f>
        <v>106302.34</v>
      </c>
      <c r="D298" s="22">
        <f>IF(A298="","",MIN('Calculator'!$B$10,C298+E298))</f>
        <v>1896.21</v>
      </c>
      <c r="E298" s="22">
        <f>IF(A298="","",ROUND(C298*'Calculator'!$B$5/12,2))</f>
        <v>575.8</v>
      </c>
      <c r="F298" s="22">
        <f>IF(A298="","",D298-E298)</f>
        <v>1320.41</v>
      </c>
      <c r="G298" s="22">
        <f>IF(A298="","",MAX(0,MIN(N('Calculator'!$B$8),C298-F298)))</f>
        <v>0</v>
      </c>
      <c r="H298" s="23">
        <f>IF(A298="","",ROUND(C298-F298-G298,2))</f>
        <v>104981.93</v>
      </c>
      <c r="I298" s="20">
        <f>IF(A298="","",ROUNDUP(A298/12,0))</f>
        <v>25</v>
      </c>
    </row>
    <row r="299" spans="1:9" x14ac:dyDescent="0.25">
      <c r="A299" s="20">
        <f>IF(H298="","",IF(H298&gt;0.005,A298+1,""))</f>
        <v>295</v>
      </c>
      <c r="B299" s="21">
        <f>IF(A299="","",EDATE('Calculator'!$B$7,A299-1))</f>
        <v>55349</v>
      </c>
      <c r="C299" s="22">
        <f>IF(A299="","",H298)</f>
        <v>104981.93</v>
      </c>
      <c r="D299" s="22">
        <f>IF(A299="","",MIN('Calculator'!$B$10,C299+E299))</f>
        <v>1896.21</v>
      </c>
      <c r="E299" s="22">
        <f>IF(A299="","",ROUND(C299*'Calculator'!$B$5/12,2))</f>
        <v>568.65</v>
      </c>
      <c r="F299" s="22">
        <f>IF(A299="","",D299-E299)</f>
        <v>1327.56</v>
      </c>
      <c r="G299" s="22">
        <f>IF(A299="","",MAX(0,MIN(N('Calculator'!$B$8),C299-F299)))</f>
        <v>0</v>
      </c>
      <c r="H299" s="23">
        <f>IF(A299="","",ROUND(C299-F299-G299,2))</f>
        <v>103654.37</v>
      </c>
      <c r="I299" s="20">
        <f>IF(A299="","",ROUNDUP(A299/12,0))</f>
        <v>25</v>
      </c>
    </row>
    <row r="300" spans="1:9" x14ac:dyDescent="0.25">
      <c r="A300" s="20">
        <f>IF(H299="","",IF(H299&gt;0.005,A299+1,""))</f>
        <v>296</v>
      </c>
      <c r="B300" s="21">
        <f>IF(A300="","",EDATE('Calculator'!$B$7,A300-1))</f>
        <v>55380</v>
      </c>
      <c r="C300" s="22">
        <f>IF(A300="","",H299)</f>
        <v>103654.37</v>
      </c>
      <c r="D300" s="22">
        <f>IF(A300="","",MIN('Calculator'!$B$10,C300+E300))</f>
        <v>1896.21</v>
      </c>
      <c r="E300" s="22">
        <f>IF(A300="","",ROUND(C300*'Calculator'!$B$5/12,2))</f>
        <v>561.46</v>
      </c>
      <c r="F300" s="22">
        <f>IF(A300="","",D300-E300)</f>
        <v>1334.75</v>
      </c>
      <c r="G300" s="22">
        <f>IF(A300="","",MAX(0,MIN(N('Calculator'!$B$8),C300-F300)))</f>
        <v>0</v>
      </c>
      <c r="H300" s="23">
        <f>IF(A300="","",ROUND(C300-F300-G300,2))</f>
        <v>102319.62</v>
      </c>
      <c r="I300" s="20">
        <f>IF(A300="","",ROUNDUP(A300/12,0))</f>
        <v>25</v>
      </c>
    </row>
    <row r="301" spans="1:9" x14ac:dyDescent="0.25">
      <c r="A301" s="20">
        <f>IF(H300="","",IF(H300&gt;0.005,A300+1,""))</f>
        <v>297</v>
      </c>
      <c r="B301" s="21">
        <f>IF(A301="","",EDATE('Calculator'!$B$7,A301-1))</f>
        <v>55411</v>
      </c>
      <c r="C301" s="22">
        <f>IF(A301="","",H300)</f>
        <v>102319.62</v>
      </c>
      <c r="D301" s="22">
        <f>IF(A301="","",MIN('Calculator'!$B$10,C301+E301))</f>
        <v>1896.21</v>
      </c>
      <c r="E301" s="22">
        <f>IF(A301="","",ROUND(C301*'Calculator'!$B$5/12,2))</f>
        <v>554.23</v>
      </c>
      <c r="F301" s="22">
        <f>IF(A301="","",D301-E301)</f>
        <v>1341.98</v>
      </c>
      <c r="G301" s="22">
        <f>IF(A301="","",MAX(0,MIN(N('Calculator'!$B$8),C301-F301)))</f>
        <v>0</v>
      </c>
      <c r="H301" s="23">
        <f>IF(A301="","",ROUND(C301-F301-G301,2))</f>
        <v>100977.64</v>
      </c>
      <c r="I301" s="20">
        <f>IF(A301="","",ROUNDUP(A301/12,0))</f>
        <v>25</v>
      </c>
    </row>
    <row r="302" spans="1:9" x14ac:dyDescent="0.25">
      <c r="A302" s="20">
        <f>IF(H301="","",IF(H301&gt;0.005,A301+1,""))</f>
        <v>298</v>
      </c>
      <c r="B302" s="21">
        <f>IF(A302="","",EDATE('Calculator'!$B$7,A302-1))</f>
        <v>55441</v>
      </c>
      <c r="C302" s="22">
        <f>IF(A302="","",H301)</f>
        <v>100977.64</v>
      </c>
      <c r="D302" s="22">
        <f>IF(A302="","",MIN('Calculator'!$B$10,C302+E302))</f>
        <v>1896.21</v>
      </c>
      <c r="E302" s="22">
        <f>IF(A302="","",ROUND(C302*'Calculator'!$B$5/12,2))</f>
        <v>546.96</v>
      </c>
      <c r="F302" s="22">
        <f>IF(A302="","",D302-E302)</f>
        <v>1349.25</v>
      </c>
      <c r="G302" s="22">
        <f>IF(A302="","",MAX(0,MIN(N('Calculator'!$B$8),C302-F302)))</f>
        <v>0</v>
      </c>
      <c r="H302" s="23">
        <f>IF(A302="","",ROUND(C302-F302-G302,2))</f>
        <v>99628.39</v>
      </c>
      <c r="I302" s="20">
        <f>IF(A302="","",ROUNDUP(A302/12,0))</f>
        <v>25</v>
      </c>
    </row>
    <row r="303" spans="1:9" x14ac:dyDescent="0.25">
      <c r="A303" s="20">
        <f>IF(H302="","",IF(H302&gt;0.005,A302+1,""))</f>
        <v>299</v>
      </c>
      <c r="B303" s="21">
        <f>IF(A303="","",EDATE('Calculator'!$B$7,A303-1))</f>
        <v>55472</v>
      </c>
      <c r="C303" s="22">
        <f>IF(A303="","",H302)</f>
        <v>99628.39</v>
      </c>
      <c r="D303" s="22">
        <f>IF(A303="","",MIN('Calculator'!$B$10,C303+E303))</f>
        <v>1896.21</v>
      </c>
      <c r="E303" s="22">
        <f>IF(A303="","",ROUND(C303*'Calculator'!$B$5/12,2))</f>
        <v>539.65</v>
      </c>
      <c r="F303" s="22">
        <f>IF(A303="","",D303-E303)</f>
        <v>1356.56</v>
      </c>
      <c r="G303" s="22">
        <f>IF(A303="","",MAX(0,MIN(N('Calculator'!$B$8),C303-F303)))</f>
        <v>0</v>
      </c>
      <c r="H303" s="23">
        <f>IF(A303="","",ROUND(C303-F303-G303,2))</f>
        <v>98271.83</v>
      </c>
      <c r="I303" s="20">
        <f>IF(A303="","",ROUNDUP(A303/12,0))</f>
        <v>25</v>
      </c>
    </row>
    <row r="304" spans="1:9" x14ac:dyDescent="0.25">
      <c r="A304" s="20">
        <f>IF(H303="","",IF(H303&gt;0.005,A303+1,""))</f>
        <v>300</v>
      </c>
      <c r="B304" s="21">
        <f>IF(A304="","",EDATE('Calculator'!$B$7,A304-1))</f>
        <v>55502</v>
      </c>
      <c r="C304" s="22">
        <f>IF(A304="","",H303)</f>
        <v>98271.83</v>
      </c>
      <c r="D304" s="22">
        <f>IF(A304="","",MIN('Calculator'!$B$10,C304+E304))</f>
        <v>1896.21</v>
      </c>
      <c r="E304" s="22">
        <f>IF(A304="","",ROUND(C304*'Calculator'!$B$5/12,2))</f>
        <v>532.31</v>
      </c>
      <c r="F304" s="22">
        <f>IF(A304="","",D304-E304)</f>
        <v>1363.9</v>
      </c>
      <c r="G304" s="22">
        <f>IF(A304="","",MAX(0,MIN(N('Calculator'!$B$8),C304-F304)))</f>
        <v>0</v>
      </c>
      <c r="H304" s="23">
        <f>IF(A304="","",ROUND(C304-F304-G304,2))</f>
        <v>96907.93</v>
      </c>
      <c r="I304" s="20">
        <f>IF(A304="","",ROUNDUP(A304/12,0))</f>
        <v>25</v>
      </c>
    </row>
    <row r="305" spans="1:9" x14ac:dyDescent="0.25">
      <c r="A305" s="20">
        <f>IF(H304="","",IF(H304&gt;0.005,A304+1,""))</f>
        <v>301</v>
      </c>
      <c r="B305" s="21">
        <f>IF(A305="","",EDATE('Calculator'!$B$7,A305-1))</f>
        <v>55533</v>
      </c>
      <c r="C305" s="22">
        <f>IF(A305="","",H304)</f>
        <v>96907.93</v>
      </c>
      <c r="D305" s="22">
        <f>IF(A305="","",MIN('Calculator'!$B$10,C305+E305))</f>
        <v>1896.21</v>
      </c>
      <c r="E305" s="22">
        <f>IF(A305="","",ROUND(C305*'Calculator'!$B$5/12,2))</f>
        <v>524.92</v>
      </c>
      <c r="F305" s="22">
        <f>IF(A305="","",D305-E305)</f>
        <v>1371.29</v>
      </c>
      <c r="G305" s="22">
        <f>IF(A305="","",MAX(0,MIN(N('Calculator'!$B$8),C305-F305)))</f>
        <v>0</v>
      </c>
      <c r="H305" s="23">
        <f>IF(A305="","",ROUND(C305-F305-G305,2))</f>
        <v>95536.64</v>
      </c>
      <c r="I305" s="20">
        <f>IF(A305="","",ROUNDUP(A305/12,0))</f>
        <v>26</v>
      </c>
    </row>
    <row r="306" spans="1:9" x14ac:dyDescent="0.25">
      <c r="A306" s="20">
        <f>IF(H305="","",IF(H305&gt;0.005,A305+1,""))</f>
        <v>302</v>
      </c>
      <c r="B306" s="21">
        <f>IF(A306="","",EDATE('Calculator'!$B$7,A306-1))</f>
        <v>55564</v>
      </c>
      <c r="C306" s="22">
        <f>IF(A306="","",H305)</f>
        <v>95536.64</v>
      </c>
      <c r="D306" s="22">
        <f>IF(A306="","",MIN('Calculator'!$B$10,C306+E306))</f>
        <v>1896.21</v>
      </c>
      <c r="E306" s="22">
        <f>IF(A306="","",ROUND(C306*'Calculator'!$B$5/12,2))</f>
        <v>517.49</v>
      </c>
      <c r="F306" s="22">
        <f>IF(A306="","",D306-E306)</f>
        <v>1378.72</v>
      </c>
      <c r="G306" s="22">
        <f>IF(A306="","",MAX(0,MIN(N('Calculator'!$B$8),C306-F306)))</f>
        <v>0</v>
      </c>
      <c r="H306" s="23">
        <f>IF(A306="","",ROUND(C306-F306-G306,2))</f>
        <v>94157.92</v>
      </c>
      <c r="I306" s="20">
        <f>IF(A306="","",ROUNDUP(A306/12,0))</f>
        <v>26</v>
      </c>
    </row>
    <row r="307" spans="1:9" x14ac:dyDescent="0.25">
      <c r="A307" s="20">
        <f>IF(H306="","",IF(H306&gt;0.005,A306+1,""))</f>
        <v>303</v>
      </c>
      <c r="B307" s="21">
        <f>IF(A307="","",EDATE('Calculator'!$B$7,A307-1))</f>
        <v>55593</v>
      </c>
      <c r="C307" s="22">
        <f>IF(A307="","",H306)</f>
        <v>94157.92</v>
      </c>
      <c r="D307" s="22">
        <f>IF(A307="","",MIN('Calculator'!$B$10,C307+E307))</f>
        <v>1896.21</v>
      </c>
      <c r="E307" s="22">
        <f>IF(A307="","",ROUND(C307*'Calculator'!$B$5/12,2))</f>
        <v>510.02</v>
      </c>
      <c r="F307" s="22">
        <f>IF(A307="","",D307-E307)</f>
        <v>1386.19</v>
      </c>
      <c r="G307" s="22">
        <f>IF(A307="","",MAX(0,MIN(N('Calculator'!$B$8),C307-F307)))</f>
        <v>0</v>
      </c>
      <c r="H307" s="23">
        <f>IF(A307="","",ROUND(C307-F307-G307,2))</f>
        <v>92771.73</v>
      </c>
      <c r="I307" s="20">
        <f>IF(A307="","",ROUNDUP(A307/12,0))</f>
        <v>26</v>
      </c>
    </row>
    <row r="308" spans="1:9" x14ac:dyDescent="0.25">
      <c r="A308" s="20">
        <f>IF(H307="","",IF(H307&gt;0.005,A307+1,""))</f>
        <v>304</v>
      </c>
      <c r="B308" s="21">
        <f>IF(A308="","",EDATE('Calculator'!$B$7,A308-1))</f>
        <v>55624</v>
      </c>
      <c r="C308" s="22">
        <f>IF(A308="","",H307)</f>
        <v>92771.73</v>
      </c>
      <c r="D308" s="22">
        <f>IF(A308="","",MIN('Calculator'!$B$10,C308+E308))</f>
        <v>1896.21</v>
      </c>
      <c r="E308" s="22">
        <f>IF(A308="","",ROUND(C308*'Calculator'!$B$5/12,2))</f>
        <v>502.51</v>
      </c>
      <c r="F308" s="22">
        <f>IF(A308="","",D308-E308)</f>
        <v>1393.7</v>
      </c>
      <c r="G308" s="22">
        <f>IF(A308="","",MAX(0,MIN(N('Calculator'!$B$8),C308-F308)))</f>
        <v>0</v>
      </c>
      <c r="H308" s="23">
        <f>IF(A308="","",ROUND(C308-F308-G308,2))</f>
        <v>91378.03</v>
      </c>
      <c r="I308" s="20">
        <f>IF(A308="","",ROUNDUP(A308/12,0))</f>
        <v>26</v>
      </c>
    </row>
    <row r="309" spans="1:9" x14ac:dyDescent="0.25">
      <c r="A309" s="20">
        <f>IF(H308="","",IF(H308&gt;0.005,A308+1,""))</f>
        <v>305</v>
      </c>
      <c r="B309" s="21">
        <f>IF(A309="","",EDATE('Calculator'!$B$7,A309-1))</f>
        <v>55654</v>
      </c>
      <c r="C309" s="22">
        <f>IF(A309="","",H308)</f>
        <v>91378.03</v>
      </c>
      <c r="D309" s="22">
        <f>IF(A309="","",MIN('Calculator'!$B$10,C309+E309))</f>
        <v>1896.21</v>
      </c>
      <c r="E309" s="22">
        <f>IF(A309="","",ROUND(C309*'Calculator'!$B$5/12,2))</f>
        <v>494.96</v>
      </c>
      <c r="F309" s="22">
        <f>IF(A309="","",D309-E309)</f>
        <v>1401.25</v>
      </c>
      <c r="G309" s="22">
        <f>IF(A309="","",MAX(0,MIN(N('Calculator'!$B$8),C309-F309)))</f>
        <v>0</v>
      </c>
      <c r="H309" s="23">
        <f>IF(A309="","",ROUND(C309-F309-G309,2))</f>
        <v>89976.78</v>
      </c>
      <c r="I309" s="20">
        <f>IF(A309="","",ROUNDUP(A309/12,0))</f>
        <v>26</v>
      </c>
    </row>
    <row r="310" spans="1:9" x14ac:dyDescent="0.25">
      <c r="A310" s="20">
        <f>IF(H309="","",IF(H309&gt;0.005,A309+1,""))</f>
        <v>306</v>
      </c>
      <c r="B310" s="21">
        <f>IF(A310="","",EDATE('Calculator'!$B$7,A310-1))</f>
        <v>55685</v>
      </c>
      <c r="C310" s="22">
        <f>IF(A310="","",H309)</f>
        <v>89976.78</v>
      </c>
      <c r="D310" s="22">
        <f>IF(A310="","",MIN('Calculator'!$B$10,C310+E310))</f>
        <v>1896.21</v>
      </c>
      <c r="E310" s="22">
        <f>IF(A310="","",ROUND(C310*'Calculator'!$B$5/12,2))</f>
        <v>487.37</v>
      </c>
      <c r="F310" s="22">
        <f>IF(A310="","",D310-E310)</f>
        <v>1408.84</v>
      </c>
      <c r="G310" s="22">
        <f>IF(A310="","",MAX(0,MIN(N('Calculator'!$B$8),C310-F310)))</f>
        <v>0</v>
      </c>
      <c r="H310" s="23">
        <f>IF(A310="","",ROUND(C310-F310-G310,2))</f>
        <v>88567.94</v>
      </c>
      <c r="I310" s="20">
        <f>IF(A310="","",ROUNDUP(A310/12,0))</f>
        <v>26</v>
      </c>
    </row>
    <row r="311" spans="1:9" x14ac:dyDescent="0.25">
      <c r="A311" s="20">
        <f>IF(H310="","",IF(H310&gt;0.005,A310+1,""))</f>
        <v>307</v>
      </c>
      <c r="B311" s="21">
        <f>IF(A311="","",EDATE('Calculator'!$B$7,A311-1))</f>
        <v>55715</v>
      </c>
      <c r="C311" s="22">
        <f>IF(A311="","",H310)</f>
        <v>88567.94</v>
      </c>
      <c r="D311" s="22">
        <f>IF(A311="","",MIN('Calculator'!$B$10,C311+E311))</f>
        <v>1896.21</v>
      </c>
      <c r="E311" s="22">
        <f>IF(A311="","",ROUND(C311*'Calculator'!$B$5/12,2))</f>
        <v>479.74</v>
      </c>
      <c r="F311" s="22">
        <f>IF(A311="","",D311-E311)</f>
        <v>1416.47</v>
      </c>
      <c r="G311" s="22">
        <f>IF(A311="","",MAX(0,MIN(N('Calculator'!$B$8),C311-F311)))</f>
        <v>0</v>
      </c>
      <c r="H311" s="23">
        <f>IF(A311="","",ROUND(C311-F311-G311,2))</f>
        <v>87151.47</v>
      </c>
      <c r="I311" s="20">
        <f>IF(A311="","",ROUNDUP(A311/12,0))</f>
        <v>26</v>
      </c>
    </row>
    <row r="312" spans="1:9" x14ac:dyDescent="0.25">
      <c r="A312" s="20">
        <f>IF(H311="","",IF(H311&gt;0.005,A311+1,""))</f>
        <v>308</v>
      </c>
      <c r="B312" s="21">
        <f>IF(A312="","",EDATE('Calculator'!$B$7,A312-1))</f>
        <v>55746</v>
      </c>
      <c r="C312" s="22">
        <f>IF(A312="","",H311)</f>
        <v>87151.47</v>
      </c>
      <c r="D312" s="22">
        <f>IF(A312="","",MIN('Calculator'!$B$10,C312+E312))</f>
        <v>1896.21</v>
      </c>
      <c r="E312" s="22">
        <f>IF(A312="","",ROUND(C312*'Calculator'!$B$5/12,2))</f>
        <v>472.07</v>
      </c>
      <c r="F312" s="22">
        <f>IF(A312="","",D312-E312)</f>
        <v>1424.14</v>
      </c>
      <c r="G312" s="22">
        <f>IF(A312="","",MAX(0,MIN(N('Calculator'!$B$8),C312-F312)))</f>
        <v>0</v>
      </c>
      <c r="H312" s="23">
        <f>IF(A312="","",ROUND(C312-F312-G312,2))</f>
        <v>85727.33</v>
      </c>
      <c r="I312" s="20">
        <f>IF(A312="","",ROUNDUP(A312/12,0))</f>
        <v>26</v>
      </c>
    </row>
    <row r="313" spans="1:9" x14ac:dyDescent="0.25">
      <c r="A313" s="20">
        <f>IF(H312="","",IF(H312&gt;0.005,A312+1,""))</f>
        <v>309</v>
      </c>
      <c r="B313" s="21">
        <f>IF(A313="","",EDATE('Calculator'!$B$7,A313-1))</f>
        <v>55777</v>
      </c>
      <c r="C313" s="22">
        <f>IF(A313="","",H312)</f>
        <v>85727.33</v>
      </c>
      <c r="D313" s="22">
        <f>IF(A313="","",MIN('Calculator'!$B$10,C313+E313))</f>
        <v>1896.21</v>
      </c>
      <c r="E313" s="22">
        <f>IF(A313="","",ROUND(C313*'Calculator'!$B$5/12,2))</f>
        <v>464.36</v>
      </c>
      <c r="F313" s="22">
        <f>IF(A313="","",D313-E313)</f>
        <v>1431.85</v>
      </c>
      <c r="G313" s="22">
        <f>IF(A313="","",MAX(0,MIN(N('Calculator'!$B$8),C313-F313)))</f>
        <v>0</v>
      </c>
      <c r="H313" s="23">
        <f>IF(A313="","",ROUND(C313-F313-G313,2))</f>
        <v>84295.48</v>
      </c>
      <c r="I313" s="20">
        <f>IF(A313="","",ROUNDUP(A313/12,0))</f>
        <v>26</v>
      </c>
    </row>
    <row r="314" spans="1:9" x14ac:dyDescent="0.25">
      <c r="A314" s="20">
        <f>IF(H313="","",IF(H313&gt;0.005,A313+1,""))</f>
        <v>310</v>
      </c>
      <c r="B314" s="21">
        <f>IF(A314="","",EDATE('Calculator'!$B$7,A314-1))</f>
        <v>55807</v>
      </c>
      <c r="C314" s="22">
        <f>IF(A314="","",H313)</f>
        <v>84295.48</v>
      </c>
      <c r="D314" s="22">
        <f>IF(A314="","",MIN('Calculator'!$B$10,C314+E314))</f>
        <v>1896.21</v>
      </c>
      <c r="E314" s="22">
        <f>IF(A314="","",ROUND(C314*'Calculator'!$B$5/12,2))</f>
        <v>456.6</v>
      </c>
      <c r="F314" s="22">
        <f>IF(A314="","",D314-E314)</f>
        <v>1439.61</v>
      </c>
      <c r="G314" s="22">
        <f>IF(A314="","",MAX(0,MIN(N('Calculator'!$B$8),C314-F314)))</f>
        <v>0</v>
      </c>
      <c r="H314" s="23">
        <f>IF(A314="","",ROUND(C314-F314-G314,2))</f>
        <v>82855.87</v>
      </c>
      <c r="I314" s="20">
        <f>IF(A314="","",ROUNDUP(A314/12,0))</f>
        <v>26</v>
      </c>
    </row>
    <row r="315" spans="1:9" x14ac:dyDescent="0.25">
      <c r="A315" s="20">
        <f>IF(H314="","",IF(H314&gt;0.005,A314+1,""))</f>
        <v>311</v>
      </c>
      <c r="B315" s="21">
        <f>IF(A315="","",EDATE('Calculator'!$B$7,A315-1))</f>
        <v>55838</v>
      </c>
      <c r="C315" s="22">
        <f>IF(A315="","",H314)</f>
        <v>82855.87</v>
      </c>
      <c r="D315" s="22">
        <f>IF(A315="","",MIN('Calculator'!$B$10,C315+E315))</f>
        <v>1896.21</v>
      </c>
      <c r="E315" s="22">
        <f>IF(A315="","",ROUND(C315*'Calculator'!$B$5/12,2))</f>
        <v>448.8</v>
      </c>
      <c r="F315" s="22">
        <f>IF(A315="","",D315-E315)</f>
        <v>1447.41</v>
      </c>
      <c r="G315" s="22">
        <f>IF(A315="","",MAX(0,MIN(N('Calculator'!$B$8),C315-F315)))</f>
        <v>0</v>
      </c>
      <c r="H315" s="23">
        <f>IF(A315="","",ROUND(C315-F315-G315,2))</f>
        <v>81408.46</v>
      </c>
      <c r="I315" s="20">
        <f>IF(A315="","",ROUNDUP(A315/12,0))</f>
        <v>26</v>
      </c>
    </row>
    <row r="316" spans="1:9" x14ac:dyDescent="0.25">
      <c r="A316" s="20">
        <f>IF(H315="","",IF(H315&gt;0.005,A315+1,""))</f>
        <v>312</v>
      </c>
      <c r="B316" s="21">
        <f>IF(A316="","",EDATE('Calculator'!$B$7,A316-1))</f>
        <v>55868</v>
      </c>
      <c r="C316" s="22">
        <f>IF(A316="","",H315)</f>
        <v>81408.46</v>
      </c>
      <c r="D316" s="22">
        <f>IF(A316="","",MIN('Calculator'!$B$10,C316+E316))</f>
        <v>1896.21</v>
      </c>
      <c r="E316" s="22">
        <f>IF(A316="","",ROUND(C316*'Calculator'!$B$5/12,2))</f>
        <v>440.96</v>
      </c>
      <c r="F316" s="22">
        <f>IF(A316="","",D316-E316)</f>
        <v>1455.25</v>
      </c>
      <c r="G316" s="22">
        <f>IF(A316="","",MAX(0,MIN(N('Calculator'!$B$8),C316-F316)))</f>
        <v>0</v>
      </c>
      <c r="H316" s="23">
        <f>IF(A316="","",ROUND(C316-F316-G316,2))</f>
        <v>79953.21</v>
      </c>
      <c r="I316" s="20">
        <f>IF(A316="","",ROUNDUP(A316/12,0))</f>
        <v>26</v>
      </c>
    </row>
    <row r="317" spans="1:9" x14ac:dyDescent="0.25">
      <c r="A317" s="20">
        <f>IF(H316="","",IF(H316&gt;0.005,A316+1,""))</f>
        <v>313</v>
      </c>
      <c r="B317" s="21">
        <f>IF(A317="","",EDATE('Calculator'!$B$7,A317-1))</f>
        <v>55899</v>
      </c>
      <c r="C317" s="22">
        <f>IF(A317="","",H316)</f>
        <v>79953.21</v>
      </c>
      <c r="D317" s="22">
        <f>IF(A317="","",MIN('Calculator'!$B$10,C317+E317))</f>
        <v>1896.21</v>
      </c>
      <c r="E317" s="22">
        <f>IF(A317="","",ROUND(C317*'Calculator'!$B$5/12,2))</f>
        <v>433.08</v>
      </c>
      <c r="F317" s="22">
        <f>IF(A317="","",D317-E317)</f>
        <v>1463.13</v>
      </c>
      <c r="G317" s="22">
        <f>IF(A317="","",MAX(0,MIN(N('Calculator'!$B$8),C317-F317)))</f>
        <v>0</v>
      </c>
      <c r="H317" s="23">
        <f>IF(A317="","",ROUND(C317-F317-G317,2))</f>
        <v>78490.08</v>
      </c>
      <c r="I317" s="20">
        <f>IF(A317="","",ROUNDUP(A317/12,0))</f>
        <v>27</v>
      </c>
    </row>
    <row r="318" spans="1:9" x14ac:dyDescent="0.25">
      <c r="A318" s="20">
        <f>IF(H317="","",IF(H317&gt;0.005,A317+1,""))</f>
        <v>314</v>
      </c>
      <c r="B318" s="21">
        <f>IF(A318="","",EDATE('Calculator'!$B$7,A318-1))</f>
        <v>55930</v>
      </c>
      <c r="C318" s="22">
        <f>IF(A318="","",H317)</f>
        <v>78490.08</v>
      </c>
      <c r="D318" s="22">
        <f>IF(A318="","",MIN('Calculator'!$B$10,C318+E318))</f>
        <v>1896.21</v>
      </c>
      <c r="E318" s="22">
        <f>IF(A318="","",ROUND(C318*'Calculator'!$B$5/12,2))</f>
        <v>425.15</v>
      </c>
      <c r="F318" s="22">
        <f>IF(A318="","",D318-E318)</f>
        <v>1471.06</v>
      </c>
      <c r="G318" s="22">
        <f>IF(A318="","",MAX(0,MIN(N('Calculator'!$B$8),C318-F318)))</f>
        <v>0</v>
      </c>
      <c r="H318" s="23">
        <f>IF(A318="","",ROUND(C318-F318-G318,2))</f>
        <v>77019.02</v>
      </c>
      <c r="I318" s="20">
        <f>IF(A318="","",ROUNDUP(A318/12,0))</f>
        <v>27</v>
      </c>
    </row>
    <row r="319" spans="1:9" x14ac:dyDescent="0.25">
      <c r="A319" s="20">
        <f>IF(H318="","",IF(H318&gt;0.005,A318+1,""))</f>
        <v>315</v>
      </c>
      <c r="B319" s="21">
        <f>IF(A319="","",EDATE('Calculator'!$B$7,A319-1))</f>
        <v>55958</v>
      </c>
      <c r="C319" s="22">
        <f>IF(A319="","",H318)</f>
        <v>77019.02</v>
      </c>
      <c r="D319" s="22">
        <f>IF(A319="","",MIN('Calculator'!$B$10,C319+E319))</f>
        <v>1896.21</v>
      </c>
      <c r="E319" s="22">
        <f>IF(A319="","",ROUND(C319*'Calculator'!$B$5/12,2))</f>
        <v>417.19</v>
      </c>
      <c r="F319" s="22">
        <f>IF(A319="","",D319-E319)</f>
        <v>1479.02</v>
      </c>
      <c r="G319" s="22">
        <f>IF(A319="","",MAX(0,MIN(N('Calculator'!$B$8),C319-F319)))</f>
        <v>0</v>
      </c>
      <c r="H319" s="23">
        <f>IF(A319="","",ROUND(C319-F319-G319,2))</f>
        <v>75540</v>
      </c>
      <c r="I319" s="20">
        <f>IF(A319="","",ROUNDUP(A319/12,0))</f>
        <v>27</v>
      </c>
    </row>
    <row r="320" spans="1:9" x14ac:dyDescent="0.25">
      <c r="A320" s="20">
        <f>IF(H319="","",IF(H319&gt;0.005,A319+1,""))</f>
        <v>316</v>
      </c>
      <c r="B320" s="21">
        <f>IF(A320="","",EDATE('Calculator'!$B$7,A320-1))</f>
        <v>55989</v>
      </c>
      <c r="C320" s="22">
        <f>IF(A320="","",H319)</f>
        <v>75540</v>
      </c>
      <c r="D320" s="22">
        <f>IF(A320="","",MIN('Calculator'!$B$10,C320+E320))</f>
        <v>1896.21</v>
      </c>
      <c r="E320" s="22">
        <f>IF(A320="","",ROUND(C320*'Calculator'!$B$5/12,2))</f>
        <v>409.18</v>
      </c>
      <c r="F320" s="22">
        <f>IF(A320="","",D320-E320)</f>
        <v>1487.03</v>
      </c>
      <c r="G320" s="22">
        <f>IF(A320="","",MAX(0,MIN(N('Calculator'!$B$8),C320-F320)))</f>
        <v>0</v>
      </c>
      <c r="H320" s="23">
        <f>IF(A320="","",ROUND(C320-F320-G320,2))</f>
        <v>74052.97</v>
      </c>
      <c r="I320" s="20">
        <f>IF(A320="","",ROUNDUP(A320/12,0))</f>
        <v>27</v>
      </c>
    </row>
    <row r="321" spans="1:9" x14ac:dyDescent="0.25">
      <c r="A321" s="20">
        <f>IF(H320="","",IF(H320&gt;0.005,A320+1,""))</f>
        <v>317</v>
      </c>
      <c r="B321" s="21">
        <f>IF(A321="","",EDATE('Calculator'!$B$7,A321-1))</f>
        <v>56019</v>
      </c>
      <c r="C321" s="22">
        <f>IF(A321="","",H320)</f>
        <v>74052.97</v>
      </c>
      <c r="D321" s="22">
        <f>IF(A321="","",MIN('Calculator'!$B$10,C321+E321))</f>
        <v>1896.21</v>
      </c>
      <c r="E321" s="22">
        <f>IF(A321="","",ROUND(C321*'Calculator'!$B$5/12,2))</f>
        <v>401.12</v>
      </c>
      <c r="F321" s="22">
        <f>IF(A321="","",D321-E321)</f>
        <v>1495.09</v>
      </c>
      <c r="G321" s="22">
        <f>IF(A321="","",MAX(0,MIN(N('Calculator'!$B$8),C321-F321)))</f>
        <v>0</v>
      </c>
      <c r="H321" s="23">
        <f>IF(A321="","",ROUND(C321-F321-G321,2))</f>
        <v>72557.88</v>
      </c>
      <c r="I321" s="20">
        <f>IF(A321="","",ROUNDUP(A321/12,0))</f>
        <v>27</v>
      </c>
    </row>
    <row r="322" spans="1:9" x14ac:dyDescent="0.25">
      <c r="A322" s="20">
        <f>IF(H321="","",IF(H321&gt;0.005,A321+1,""))</f>
        <v>318</v>
      </c>
      <c r="B322" s="21">
        <f>IF(A322="","",EDATE('Calculator'!$B$7,A322-1))</f>
        <v>56050</v>
      </c>
      <c r="C322" s="22">
        <f>IF(A322="","",H321)</f>
        <v>72557.88</v>
      </c>
      <c r="D322" s="22">
        <f>IF(A322="","",MIN('Calculator'!$B$10,C322+E322))</f>
        <v>1896.21</v>
      </c>
      <c r="E322" s="22">
        <f>IF(A322="","",ROUND(C322*'Calculator'!$B$5/12,2))</f>
        <v>393.02</v>
      </c>
      <c r="F322" s="22">
        <f>IF(A322="","",D322-E322)</f>
        <v>1503.19</v>
      </c>
      <c r="G322" s="22">
        <f>IF(A322="","",MAX(0,MIN(N('Calculator'!$B$8),C322-F322)))</f>
        <v>0</v>
      </c>
      <c r="H322" s="23">
        <f>IF(A322="","",ROUND(C322-F322-G322,2))</f>
        <v>71054.69</v>
      </c>
      <c r="I322" s="20">
        <f>IF(A322="","",ROUNDUP(A322/12,0))</f>
        <v>27</v>
      </c>
    </row>
    <row r="323" spans="1:9" x14ac:dyDescent="0.25">
      <c r="A323" s="20">
        <f>IF(H322="","",IF(H322&gt;0.005,A322+1,""))</f>
        <v>319</v>
      </c>
      <c r="B323" s="21">
        <f>IF(A323="","",EDATE('Calculator'!$B$7,A323-1))</f>
        <v>56080</v>
      </c>
      <c r="C323" s="22">
        <f>IF(A323="","",H322)</f>
        <v>71054.69</v>
      </c>
      <c r="D323" s="22">
        <f>IF(A323="","",MIN('Calculator'!$B$10,C323+E323))</f>
        <v>1896.21</v>
      </c>
      <c r="E323" s="22">
        <f>IF(A323="","",ROUND(C323*'Calculator'!$B$5/12,2))</f>
        <v>384.88</v>
      </c>
      <c r="F323" s="22">
        <f>IF(A323="","",D323-E323)</f>
        <v>1511.33</v>
      </c>
      <c r="G323" s="22">
        <f>IF(A323="","",MAX(0,MIN(N('Calculator'!$B$8),C323-F323)))</f>
        <v>0</v>
      </c>
      <c r="H323" s="23">
        <f>IF(A323="","",ROUND(C323-F323-G323,2))</f>
        <v>69543.36</v>
      </c>
      <c r="I323" s="20">
        <f>IF(A323="","",ROUNDUP(A323/12,0))</f>
        <v>27</v>
      </c>
    </row>
    <row r="324" spans="1:9" x14ac:dyDescent="0.25">
      <c r="A324" s="20">
        <f>IF(H323="","",IF(H323&gt;0.005,A323+1,""))</f>
        <v>320</v>
      </c>
      <c r="B324" s="21">
        <f>IF(A324="","",EDATE('Calculator'!$B$7,A324-1))</f>
        <v>56111</v>
      </c>
      <c r="C324" s="22">
        <f>IF(A324="","",H323)</f>
        <v>69543.36</v>
      </c>
      <c r="D324" s="22">
        <f>IF(A324="","",MIN('Calculator'!$B$10,C324+E324))</f>
        <v>1896.21</v>
      </c>
      <c r="E324" s="22">
        <f>IF(A324="","",ROUND(C324*'Calculator'!$B$5/12,2))</f>
        <v>376.69</v>
      </c>
      <c r="F324" s="22">
        <f>IF(A324="","",D324-E324)</f>
        <v>1519.52</v>
      </c>
      <c r="G324" s="22">
        <f>IF(A324="","",MAX(0,MIN(N('Calculator'!$B$8),C324-F324)))</f>
        <v>0</v>
      </c>
      <c r="H324" s="23">
        <f>IF(A324="","",ROUND(C324-F324-G324,2))</f>
        <v>68023.84</v>
      </c>
      <c r="I324" s="20">
        <f>IF(A324="","",ROUNDUP(A324/12,0))</f>
        <v>27</v>
      </c>
    </row>
    <row r="325" spans="1:9" x14ac:dyDescent="0.25">
      <c r="A325" s="20">
        <f>IF(H324="","",IF(H324&gt;0.005,A324+1,""))</f>
        <v>321</v>
      </c>
      <c r="B325" s="21">
        <f>IF(A325="","",EDATE('Calculator'!$B$7,A325-1))</f>
        <v>56142</v>
      </c>
      <c r="C325" s="22">
        <f>IF(A325="","",H324)</f>
        <v>68023.84</v>
      </c>
      <c r="D325" s="22">
        <f>IF(A325="","",MIN('Calculator'!$B$10,C325+E325))</f>
        <v>1896.21</v>
      </c>
      <c r="E325" s="22">
        <f>IF(A325="","",ROUND(C325*'Calculator'!$B$5/12,2))</f>
        <v>368.46</v>
      </c>
      <c r="F325" s="22">
        <f>IF(A325="","",D325-E325)</f>
        <v>1527.75</v>
      </c>
      <c r="G325" s="22">
        <f>IF(A325="","",MAX(0,MIN(N('Calculator'!$B$8),C325-F325)))</f>
        <v>0</v>
      </c>
      <c r="H325" s="23">
        <f>IF(A325="","",ROUND(C325-F325-G325,2))</f>
        <v>66496.09</v>
      </c>
      <c r="I325" s="20">
        <f>IF(A325="","",ROUNDUP(A325/12,0))</f>
        <v>27</v>
      </c>
    </row>
    <row r="326" spans="1:9" x14ac:dyDescent="0.25">
      <c r="A326" s="20">
        <f>IF(H325="","",IF(H325&gt;0.005,A325+1,""))</f>
        <v>322</v>
      </c>
      <c r="B326" s="21">
        <f>IF(A326="","",EDATE('Calculator'!$B$7,A326-1))</f>
        <v>56172</v>
      </c>
      <c r="C326" s="22">
        <f>IF(A326="","",H325)</f>
        <v>66496.09</v>
      </c>
      <c r="D326" s="22">
        <f>IF(A326="","",MIN('Calculator'!$B$10,C326+E326))</f>
        <v>1896.21</v>
      </c>
      <c r="E326" s="22">
        <f>IF(A326="","",ROUND(C326*'Calculator'!$B$5/12,2))</f>
        <v>360.19</v>
      </c>
      <c r="F326" s="22">
        <f>IF(A326="","",D326-E326)</f>
        <v>1536.02</v>
      </c>
      <c r="G326" s="22">
        <f>IF(A326="","",MAX(0,MIN(N('Calculator'!$B$8),C326-F326)))</f>
        <v>0</v>
      </c>
      <c r="H326" s="23">
        <f>IF(A326="","",ROUND(C326-F326-G326,2))</f>
        <v>64960.07</v>
      </c>
      <c r="I326" s="20">
        <f>IF(A326="","",ROUNDUP(A326/12,0))</f>
        <v>27</v>
      </c>
    </row>
    <row r="327" spans="1:9" x14ac:dyDescent="0.25">
      <c r="A327" s="20">
        <f>IF(H326="","",IF(H326&gt;0.005,A326+1,""))</f>
        <v>323</v>
      </c>
      <c r="B327" s="21">
        <f>IF(A327="","",EDATE('Calculator'!$B$7,A327-1))</f>
        <v>56203</v>
      </c>
      <c r="C327" s="22">
        <f>IF(A327="","",H326)</f>
        <v>64960.07</v>
      </c>
      <c r="D327" s="22">
        <f>IF(A327="","",MIN('Calculator'!$B$10,C327+E327))</f>
        <v>1896.21</v>
      </c>
      <c r="E327" s="22">
        <f>IF(A327="","",ROUND(C327*'Calculator'!$B$5/12,2))</f>
        <v>351.87</v>
      </c>
      <c r="F327" s="22">
        <f>IF(A327="","",D327-E327)</f>
        <v>1544.34</v>
      </c>
      <c r="G327" s="22">
        <f>IF(A327="","",MAX(0,MIN(N('Calculator'!$B$8),C327-F327)))</f>
        <v>0</v>
      </c>
      <c r="H327" s="23">
        <f>IF(A327="","",ROUND(C327-F327-G327,2))</f>
        <v>63415.73</v>
      </c>
      <c r="I327" s="20">
        <f>IF(A327="","",ROUNDUP(A327/12,0))</f>
        <v>27</v>
      </c>
    </row>
    <row r="328" spans="1:9" x14ac:dyDescent="0.25">
      <c r="A328" s="20">
        <f>IF(H327="","",IF(H327&gt;0.005,A327+1,""))</f>
        <v>324</v>
      </c>
      <c r="B328" s="21">
        <f>IF(A328="","",EDATE('Calculator'!$B$7,A328-1))</f>
        <v>56233</v>
      </c>
      <c r="C328" s="22">
        <f>IF(A328="","",H327)</f>
        <v>63415.73</v>
      </c>
      <c r="D328" s="22">
        <f>IF(A328="","",MIN('Calculator'!$B$10,C328+E328))</f>
        <v>1896.21</v>
      </c>
      <c r="E328" s="22">
        <f>IF(A328="","",ROUND(C328*'Calculator'!$B$5/12,2))</f>
        <v>343.5</v>
      </c>
      <c r="F328" s="22">
        <f>IF(A328="","",D328-E328)</f>
        <v>1552.71</v>
      </c>
      <c r="G328" s="22">
        <f>IF(A328="","",MAX(0,MIN(N('Calculator'!$B$8),C328-F328)))</f>
        <v>0</v>
      </c>
      <c r="H328" s="23">
        <f>IF(A328="","",ROUND(C328-F328-G328,2))</f>
        <v>61863.02</v>
      </c>
      <c r="I328" s="20">
        <f>IF(A328="","",ROUNDUP(A328/12,0))</f>
        <v>27</v>
      </c>
    </row>
    <row r="329" spans="1:9" x14ac:dyDescent="0.25">
      <c r="A329" s="20">
        <f>IF(H328="","",IF(H328&gt;0.005,A328+1,""))</f>
        <v>325</v>
      </c>
      <c r="B329" s="21">
        <f>IF(A329="","",EDATE('Calculator'!$B$7,A329-1))</f>
        <v>56264</v>
      </c>
      <c r="C329" s="22">
        <f>IF(A329="","",H328)</f>
        <v>61863.02</v>
      </c>
      <c r="D329" s="22">
        <f>IF(A329="","",MIN('Calculator'!$B$10,C329+E329))</f>
        <v>1896.21</v>
      </c>
      <c r="E329" s="22">
        <f>IF(A329="","",ROUND(C329*'Calculator'!$B$5/12,2))</f>
        <v>335.09</v>
      </c>
      <c r="F329" s="22">
        <f>IF(A329="","",D329-E329)</f>
        <v>1561.12</v>
      </c>
      <c r="G329" s="22">
        <f>IF(A329="","",MAX(0,MIN(N('Calculator'!$B$8),C329-F329)))</f>
        <v>0</v>
      </c>
      <c r="H329" s="23">
        <f>IF(A329="","",ROUND(C329-F329-G329,2))</f>
        <v>60301.9</v>
      </c>
      <c r="I329" s="20">
        <f>IF(A329="","",ROUNDUP(A329/12,0))</f>
        <v>28</v>
      </c>
    </row>
    <row r="330" spans="1:9" x14ac:dyDescent="0.25">
      <c r="A330" s="20">
        <f>IF(H329="","",IF(H329&gt;0.005,A329+1,""))</f>
        <v>326</v>
      </c>
      <c r="B330" s="21">
        <f>IF(A330="","",EDATE('Calculator'!$B$7,A330-1))</f>
        <v>56295</v>
      </c>
      <c r="C330" s="22">
        <f>IF(A330="","",H329)</f>
        <v>60301.9</v>
      </c>
      <c r="D330" s="22">
        <f>IF(A330="","",MIN('Calculator'!$B$10,C330+E330))</f>
        <v>1896.21</v>
      </c>
      <c r="E330" s="22">
        <f>IF(A330="","",ROUND(C330*'Calculator'!$B$5/12,2))</f>
        <v>326.64</v>
      </c>
      <c r="F330" s="22">
        <f>IF(A330="","",D330-E330)</f>
        <v>1569.57</v>
      </c>
      <c r="G330" s="22">
        <f>IF(A330="","",MAX(0,MIN(N('Calculator'!$B$8),C330-F330)))</f>
        <v>0</v>
      </c>
      <c r="H330" s="23">
        <f>IF(A330="","",ROUND(C330-F330-G330,2))</f>
        <v>58732.33</v>
      </c>
      <c r="I330" s="20">
        <f>IF(A330="","",ROUNDUP(A330/12,0))</f>
        <v>28</v>
      </c>
    </row>
    <row r="331" spans="1:9" x14ac:dyDescent="0.25">
      <c r="A331" s="20">
        <f>IF(H330="","",IF(H330&gt;0.005,A330+1,""))</f>
        <v>327</v>
      </c>
      <c r="B331" s="21">
        <f>IF(A331="","",EDATE('Calculator'!$B$7,A331-1))</f>
        <v>56323</v>
      </c>
      <c r="C331" s="22">
        <f>IF(A331="","",H330)</f>
        <v>58732.33</v>
      </c>
      <c r="D331" s="22">
        <f>IF(A331="","",MIN('Calculator'!$B$10,C331+E331))</f>
        <v>1896.21</v>
      </c>
      <c r="E331" s="22">
        <f>IF(A331="","",ROUND(C331*'Calculator'!$B$5/12,2))</f>
        <v>318.13</v>
      </c>
      <c r="F331" s="22">
        <f>IF(A331="","",D331-E331)</f>
        <v>1578.08</v>
      </c>
      <c r="G331" s="22">
        <f>IF(A331="","",MAX(0,MIN(N('Calculator'!$B$8),C331-F331)))</f>
        <v>0</v>
      </c>
      <c r="H331" s="23">
        <f>IF(A331="","",ROUND(C331-F331-G331,2))</f>
        <v>57154.25</v>
      </c>
      <c r="I331" s="20">
        <f>IF(A331="","",ROUNDUP(A331/12,0))</f>
        <v>28</v>
      </c>
    </row>
    <row r="332" spans="1:9" x14ac:dyDescent="0.25">
      <c r="A332" s="20">
        <f>IF(H331="","",IF(H331&gt;0.005,A331+1,""))</f>
        <v>328</v>
      </c>
      <c r="B332" s="21">
        <f>IF(A332="","",EDATE('Calculator'!$B$7,A332-1))</f>
        <v>56354</v>
      </c>
      <c r="C332" s="22">
        <f>IF(A332="","",H331)</f>
        <v>57154.25</v>
      </c>
      <c r="D332" s="22">
        <f>IF(A332="","",MIN('Calculator'!$B$10,C332+E332))</f>
        <v>1896.21</v>
      </c>
      <c r="E332" s="22">
        <f>IF(A332="","",ROUND(C332*'Calculator'!$B$5/12,2))</f>
        <v>309.59</v>
      </c>
      <c r="F332" s="22">
        <f>IF(A332="","",D332-E332)</f>
        <v>1586.62</v>
      </c>
      <c r="G332" s="22">
        <f>IF(A332="","",MAX(0,MIN(N('Calculator'!$B$8),C332-F332)))</f>
        <v>0</v>
      </c>
      <c r="H332" s="23">
        <f>IF(A332="","",ROUND(C332-F332-G332,2))</f>
        <v>55567.63</v>
      </c>
      <c r="I332" s="20">
        <f>IF(A332="","",ROUNDUP(A332/12,0))</f>
        <v>28</v>
      </c>
    </row>
    <row r="333" spans="1:9" x14ac:dyDescent="0.25">
      <c r="A333" s="20">
        <f>IF(H332="","",IF(H332&gt;0.005,A332+1,""))</f>
        <v>329</v>
      </c>
      <c r="B333" s="21">
        <f>IF(A333="","",EDATE('Calculator'!$B$7,A333-1))</f>
        <v>56384</v>
      </c>
      <c r="C333" s="22">
        <f>IF(A333="","",H332)</f>
        <v>55567.63</v>
      </c>
      <c r="D333" s="22">
        <f>IF(A333="","",MIN('Calculator'!$B$10,C333+E333))</f>
        <v>1896.21</v>
      </c>
      <c r="E333" s="22">
        <f>IF(A333="","",ROUND(C333*'Calculator'!$B$5/12,2))</f>
        <v>300.99</v>
      </c>
      <c r="F333" s="22">
        <f>IF(A333="","",D333-E333)</f>
        <v>1595.22</v>
      </c>
      <c r="G333" s="22">
        <f>IF(A333="","",MAX(0,MIN(N('Calculator'!$B$8),C333-F333)))</f>
        <v>0</v>
      </c>
      <c r="H333" s="23">
        <f>IF(A333="","",ROUND(C333-F333-G333,2))</f>
        <v>53972.41</v>
      </c>
      <c r="I333" s="20">
        <f>IF(A333="","",ROUNDUP(A333/12,0))</f>
        <v>28</v>
      </c>
    </row>
    <row r="334" spans="1:9" x14ac:dyDescent="0.25">
      <c r="A334" s="20">
        <f>IF(H333="","",IF(H333&gt;0.005,A333+1,""))</f>
        <v>330</v>
      </c>
      <c r="B334" s="21">
        <f>IF(A334="","",EDATE('Calculator'!$B$7,A334-1))</f>
        <v>56415</v>
      </c>
      <c r="C334" s="22">
        <f>IF(A334="","",H333)</f>
        <v>53972.41</v>
      </c>
      <c r="D334" s="22">
        <f>IF(A334="","",MIN('Calculator'!$B$10,C334+E334))</f>
        <v>1896.21</v>
      </c>
      <c r="E334" s="22">
        <f>IF(A334="","",ROUND(C334*'Calculator'!$B$5/12,2))</f>
        <v>292.35</v>
      </c>
      <c r="F334" s="22">
        <f>IF(A334="","",D334-E334)</f>
        <v>1603.86</v>
      </c>
      <c r="G334" s="22">
        <f>IF(A334="","",MAX(0,MIN(N('Calculator'!$B$8),C334-F334)))</f>
        <v>0</v>
      </c>
      <c r="H334" s="23">
        <f>IF(A334="","",ROUND(C334-F334-G334,2))</f>
        <v>52368.55</v>
      </c>
      <c r="I334" s="20">
        <f>IF(A334="","",ROUNDUP(A334/12,0))</f>
        <v>28</v>
      </c>
    </row>
    <row r="335" spans="1:9" x14ac:dyDescent="0.25">
      <c r="A335" s="20">
        <f>IF(H334="","",IF(H334&gt;0.005,A334+1,""))</f>
        <v>331</v>
      </c>
      <c r="B335" s="21">
        <f>IF(A335="","",EDATE('Calculator'!$B$7,A335-1))</f>
        <v>56445</v>
      </c>
      <c r="C335" s="22">
        <f>IF(A335="","",H334)</f>
        <v>52368.55</v>
      </c>
      <c r="D335" s="22">
        <f>IF(A335="","",MIN('Calculator'!$B$10,C335+E335))</f>
        <v>1896.21</v>
      </c>
      <c r="E335" s="22">
        <f>IF(A335="","",ROUND(C335*'Calculator'!$B$5/12,2))</f>
        <v>283.66</v>
      </c>
      <c r="F335" s="22">
        <f>IF(A335="","",D335-E335)</f>
        <v>1612.55</v>
      </c>
      <c r="G335" s="22">
        <f>IF(A335="","",MAX(0,MIN(N('Calculator'!$B$8),C335-F335)))</f>
        <v>0</v>
      </c>
      <c r="H335" s="23">
        <f>IF(A335="","",ROUND(C335-F335-G335,2))</f>
        <v>50756</v>
      </c>
      <c r="I335" s="20">
        <f>IF(A335="","",ROUNDUP(A335/12,0))</f>
        <v>28</v>
      </c>
    </row>
    <row r="336" spans="1:9" x14ac:dyDescent="0.25">
      <c r="A336" s="20">
        <f>IF(H335="","",IF(H335&gt;0.005,A335+1,""))</f>
        <v>332</v>
      </c>
      <c r="B336" s="21">
        <f>IF(A336="","",EDATE('Calculator'!$B$7,A336-1))</f>
        <v>56476</v>
      </c>
      <c r="C336" s="22">
        <f>IF(A336="","",H335)</f>
        <v>50756</v>
      </c>
      <c r="D336" s="22">
        <f>IF(A336="","",MIN('Calculator'!$B$10,C336+E336))</f>
        <v>1896.21</v>
      </c>
      <c r="E336" s="22">
        <f>IF(A336="","",ROUND(C336*'Calculator'!$B$5/12,2))</f>
        <v>274.93</v>
      </c>
      <c r="F336" s="22">
        <f>IF(A336="","",D336-E336)</f>
        <v>1621.28</v>
      </c>
      <c r="G336" s="22">
        <f>IF(A336="","",MAX(0,MIN(N('Calculator'!$B$8),C336-F336)))</f>
        <v>0</v>
      </c>
      <c r="H336" s="23">
        <f>IF(A336="","",ROUND(C336-F336-G336,2))</f>
        <v>49134.72</v>
      </c>
      <c r="I336" s="20">
        <f>IF(A336="","",ROUNDUP(A336/12,0))</f>
        <v>28</v>
      </c>
    </row>
    <row r="337" spans="1:9" x14ac:dyDescent="0.25">
      <c r="A337" s="20">
        <f>IF(H336="","",IF(H336&gt;0.005,A336+1,""))</f>
        <v>333</v>
      </c>
      <c r="B337" s="21">
        <f>IF(A337="","",EDATE('Calculator'!$B$7,A337-1))</f>
        <v>56507</v>
      </c>
      <c r="C337" s="22">
        <f>IF(A337="","",H336)</f>
        <v>49134.72</v>
      </c>
      <c r="D337" s="22">
        <f>IF(A337="","",MIN('Calculator'!$B$10,C337+E337))</f>
        <v>1896.21</v>
      </c>
      <c r="E337" s="22">
        <f>IF(A337="","",ROUND(C337*'Calculator'!$B$5/12,2))</f>
        <v>266.15</v>
      </c>
      <c r="F337" s="22">
        <f>IF(A337="","",D337-E337)</f>
        <v>1630.06</v>
      </c>
      <c r="G337" s="22">
        <f>IF(A337="","",MAX(0,MIN(N('Calculator'!$B$8),C337-F337)))</f>
        <v>0</v>
      </c>
      <c r="H337" s="23">
        <f>IF(A337="","",ROUND(C337-F337-G337,2))</f>
        <v>47504.66</v>
      </c>
      <c r="I337" s="20">
        <f>IF(A337="","",ROUNDUP(A337/12,0))</f>
        <v>28</v>
      </c>
    </row>
    <row r="338" spans="1:9" x14ac:dyDescent="0.25">
      <c r="A338" s="20">
        <f>IF(H337="","",IF(H337&gt;0.005,A337+1,""))</f>
        <v>334</v>
      </c>
      <c r="B338" s="21">
        <f>IF(A338="","",EDATE('Calculator'!$B$7,A338-1))</f>
        <v>56537</v>
      </c>
      <c r="C338" s="22">
        <f>IF(A338="","",H337)</f>
        <v>47504.66</v>
      </c>
      <c r="D338" s="22">
        <f>IF(A338="","",MIN('Calculator'!$B$10,C338+E338))</f>
        <v>1896.21</v>
      </c>
      <c r="E338" s="22">
        <f>IF(A338="","",ROUND(C338*'Calculator'!$B$5/12,2))</f>
        <v>257.32</v>
      </c>
      <c r="F338" s="22">
        <f>IF(A338="","",D338-E338)</f>
        <v>1638.89</v>
      </c>
      <c r="G338" s="22">
        <f>IF(A338="","",MAX(0,MIN(N('Calculator'!$B$8),C338-F338)))</f>
        <v>0</v>
      </c>
      <c r="H338" s="23">
        <f>IF(A338="","",ROUND(C338-F338-G338,2))</f>
        <v>45865.77</v>
      </c>
      <c r="I338" s="20">
        <f>IF(A338="","",ROUNDUP(A338/12,0))</f>
        <v>28</v>
      </c>
    </row>
    <row r="339" spans="1:9" x14ac:dyDescent="0.25">
      <c r="A339" s="20">
        <f>IF(H338="","",IF(H338&gt;0.005,A338+1,""))</f>
        <v>335</v>
      </c>
      <c r="B339" s="21">
        <f>IF(A339="","",EDATE('Calculator'!$B$7,A339-1))</f>
        <v>56568</v>
      </c>
      <c r="C339" s="22">
        <f>IF(A339="","",H338)</f>
        <v>45865.77</v>
      </c>
      <c r="D339" s="22">
        <f>IF(A339="","",MIN('Calculator'!$B$10,C339+E339))</f>
        <v>1896.21</v>
      </c>
      <c r="E339" s="22">
        <f>IF(A339="","",ROUND(C339*'Calculator'!$B$5/12,2))</f>
        <v>248.44</v>
      </c>
      <c r="F339" s="22">
        <f>IF(A339="","",D339-E339)</f>
        <v>1647.77</v>
      </c>
      <c r="G339" s="22">
        <f>IF(A339="","",MAX(0,MIN(N('Calculator'!$B$8),C339-F339)))</f>
        <v>0</v>
      </c>
      <c r="H339" s="23">
        <f>IF(A339="","",ROUND(C339-F339-G339,2))</f>
        <v>44218</v>
      </c>
      <c r="I339" s="20">
        <f>IF(A339="","",ROUNDUP(A339/12,0))</f>
        <v>28</v>
      </c>
    </row>
    <row r="340" spans="1:9" x14ac:dyDescent="0.25">
      <c r="A340" s="20">
        <f>IF(H339="","",IF(H339&gt;0.005,A339+1,""))</f>
        <v>336</v>
      </c>
      <c r="B340" s="21">
        <f>IF(A340="","",EDATE('Calculator'!$B$7,A340-1))</f>
        <v>56598</v>
      </c>
      <c r="C340" s="22">
        <f>IF(A340="","",H339)</f>
        <v>44218</v>
      </c>
      <c r="D340" s="22">
        <f>IF(A340="","",MIN('Calculator'!$B$10,C340+E340))</f>
        <v>1896.21</v>
      </c>
      <c r="E340" s="22">
        <f>IF(A340="","",ROUND(C340*'Calculator'!$B$5/12,2))</f>
        <v>239.51</v>
      </c>
      <c r="F340" s="22">
        <f>IF(A340="","",D340-E340)</f>
        <v>1656.7</v>
      </c>
      <c r="G340" s="22">
        <f>IF(A340="","",MAX(0,MIN(N('Calculator'!$B$8),C340-F340)))</f>
        <v>0</v>
      </c>
      <c r="H340" s="23">
        <f>IF(A340="","",ROUND(C340-F340-G340,2))</f>
        <v>42561.3</v>
      </c>
      <c r="I340" s="20">
        <f>IF(A340="","",ROUNDUP(A340/12,0))</f>
        <v>28</v>
      </c>
    </row>
    <row r="341" spans="1:9" x14ac:dyDescent="0.25">
      <c r="A341" s="20">
        <f>IF(H340="","",IF(H340&gt;0.005,A340+1,""))</f>
        <v>337</v>
      </c>
      <c r="B341" s="21">
        <f>IF(A341="","",EDATE('Calculator'!$B$7,A341-1))</f>
        <v>56629</v>
      </c>
      <c r="C341" s="22">
        <f>IF(A341="","",H340)</f>
        <v>42561.3</v>
      </c>
      <c r="D341" s="22">
        <f>IF(A341="","",MIN('Calculator'!$B$10,C341+E341))</f>
        <v>1896.21</v>
      </c>
      <c r="E341" s="22">
        <f>IF(A341="","",ROUND(C341*'Calculator'!$B$5/12,2))</f>
        <v>230.54</v>
      </c>
      <c r="F341" s="22">
        <f>IF(A341="","",D341-E341)</f>
        <v>1665.67</v>
      </c>
      <c r="G341" s="22">
        <f>IF(A341="","",MAX(0,MIN(N('Calculator'!$B$8),C341-F341)))</f>
        <v>0</v>
      </c>
      <c r="H341" s="23">
        <f>IF(A341="","",ROUND(C341-F341-G341,2))</f>
        <v>40895.63</v>
      </c>
      <c r="I341" s="20">
        <f>IF(A341="","",ROUNDUP(A341/12,0))</f>
        <v>29</v>
      </c>
    </row>
    <row r="342" spans="1:9" x14ac:dyDescent="0.25">
      <c r="A342" s="20">
        <f>IF(H341="","",IF(H341&gt;0.005,A341+1,""))</f>
        <v>338</v>
      </c>
      <c r="B342" s="21">
        <f>IF(A342="","",EDATE('Calculator'!$B$7,A342-1))</f>
        <v>56660</v>
      </c>
      <c r="C342" s="22">
        <f>IF(A342="","",H341)</f>
        <v>40895.63</v>
      </c>
      <c r="D342" s="22">
        <f>IF(A342="","",MIN('Calculator'!$B$10,C342+E342))</f>
        <v>1896.21</v>
      </c>
      <c r="E342" s="22">
        <f>IF(A342="","",ROUND(C342*'Calculator'!$B$5/12,2))</f>
        <v>221.52</v>
      </c>
      <c r="F342" s="22">
        <f>IF(A342="","",D342-E342)</f>
        <v>1674.69</v>
      </c>
      <c r="G342" s="22">
        <f>IF(A342="","",MAX(0,MIN(N('Calculator'!$B$8),C342-F342)))</f>
        <v>0</v>
      </c>
      <c r="H342" s="23">
        <f>IF(A342="","",ROUND(C342-F342-G342,2))</f>
        <v>39220.94</v>
      </c>
      <c r="I342" s="20">
        <f>IF(A342="","",ROUNDUP(A342/12,0))</f>
        <v>29</v>
      </c>
    </row>
    <row r="343" spans="1:9" x14ac:dyDescent="0.25">
      <c r="A343" s="20">
        <f>IF(H342="","",IF(H342&gt;0.005,A342+1,""))</f>
        <v>339</v>
      </c>
      <c r="B343" s="21">
        <f>IF(A343="","",EDATE('Calculator'!$B$7,A343-1))</f>
        <v>56688</v>
      </c>
      <c r="C343" s="22">
        <f>IF(A343="","",H342)</f>
        <v>39220.94</v>
      </c>
      <c r="D343" s="22">
        <f>IF(A343="","",MIN('Calculator'!$B$10,C343+E343))</f>
        <v>1896.21</v>
      </c>
      <c r="E343" s="22">
        <f>IF(A343="","",ROUND(C343*'Calculator'!$B$5/12,2))</f>
        <v>212.45</v>
      </c>
      <c r="F343" s="22">
        <f>IF(A343="","",D343-E343)</f>
        <v>1683.76</v>
      </c>
      <c r="G343" s="22">
        <f>IF(A343="","",MAX(0,MIN(N('Calculator'!$B$8),C343-F343)))</f>
        <v>0</v>
      </c>
      <c r="H343" s="23">
        <f>IF(A343="","",ROUND(C343-F343-G343,2))</f>
        <v>37537.18</v>
      </c>
      <c r="I343" s="20">
        <f>IF(A343="","",ROUNDUP(A343/12,0))</f>
        <v>29</v>
      </c>
    </row>
    <row r="344" spans="1:9" x14ac:dyDescent="0.25">
      <c r="A344" s="20">
        <f>IF(H343="","",IF(H343&gt;0.005,A343+1,""))</f>
        <v>340</v>
      </c>
      <c r="B344" s="21">
        <f>IF(A344="","",EDATE('Calculator'!$B$7,A344-1))</f>
        <v>56719</v>
      </c>
      <c r="C344" s="22">
        <f>IF(A344="","",H343)</f>
        <v>37537.18</v>
      </c>
      <c r="D344" s="22">
        <f>IF(A344="","",MIN('Calculator'!$B$10,C344+E344))</f>
        <v>1896.21</v>
      </c>
      <c r="E344" s="22">
        <f>IF(A344="","",ROUND(C344*'Calculator'!$B$5/12,2))</f>
        <v>203.33</v>
      </c>
      <c r="F344" s="22">
        <f>IF(A344="","",D344-E344)</f>
        <v>1692.88</v>
      </c>
      <c r="G344" s="22">
        <f>IF(A344="","",MAX(0,MIN(N('Calculator'!$B$8),C344-F344)))</f>
        <v>0</v>
      </c>
      <c r="H344" s="23">
        <f>IF(A344="","",ROUND(C344-F344-G344,2))</f>
        <v>35844.3</v>
      </c>
      <c r="I344" s="20">
        <f>IF(A344="","",ROUNDUP(A344/12,0))</f>
        <v>29</v>
      </c>
    </row>
    <row r="345" spans="1:9" x14ac:dyDescent="0.25">
      <c r="A345" s="20">
        <f>IF(H344="","",IF(H344&gt;0.005,A344+1,""))</f>
        <v>341</v>
      </c>
      <c r="B345" s="21">
        <f>IF(A345="","",EDATE('Calculator'!$B$7,A345-1))</f>
        <v>56749</v>
      </c>
      <c r="C345" s="22">
        <f>IF(A345="","",H344)</f>
        <v>35844.3</v>
      </c>
      <c r="D345" s="22">
        <f>IF(A345="","",MIN('Calculator'!$B$10,C345+E345))</f>
        <v>1896.21</v>
      </c>
      <c r="E345" s="22">
        <f>IF(A345="","",ROUND(C345*'Calculator'!$B$5/12,2))</f>
        <v>194.16</v>
      </c>
      <c r="F345" s="22">
        <f>IF(A345="","",D345-E345)</f>
        <v>1702.05</v>
      </c>
      <c r="G345" s="22">
        <f>IF(A345="","",MAX(0,MIN(N('Calculator'!$B$8),C345-F345)))</f>
        <v>0</v>
      </c>
      <c r="H345" s="23">
        <f>IF(A345="","",ROUND(C345-F345-G345,2))</f>
        <v>34142.25</v>
      </c>
      <c r="I345" s="20">
        <f>IF(A345="","",ROUNDUP(A345/12,0))</f>
        <v>29</v>
      </c>
    </row>
    <row r="346" spans="1:9" x14ac:dyDescent="0.25">
      <c r="A346" s="20">
        <f>IF(H345="","",IF(H345&gt;0.005,A345+1,""))</f>
        <v>342</v>
      </c>
      <c r="B346" s="21">
        <f>IF(A346="","",EDATE('Calculator'!$B$7,A346-1))</f>
        <v>56780</v>
      </c>
      <c r="C346" s="22">
        <f>IF(A346="","",H345)</f>
        <v>34142.25</v>
      </c>
      <c r="D346" s="22">
        <f>IF(A346="","",MIN('Calculator'!$B$10,C346+E346))</f>
        <v>1896.21</v>
      </c>
      <c r="E346" s="22">
        <f>IF(A346="","",ROUND(C346*'Calculator'!$B$5/12,2))</f>
        <v>184.94</v>
      </c>
      <c r="F346" s="22">
        <f>IF(A346="","",D346-E346)</f>
        <v>1711.27</v>
      </c>
      <c r="G346" s="22">
        <f>IF(A346="","",MAX(0,MIN(N('Calculator'!$B$8),C346-F346)))</f>
        <v>0</v>
      </c>
      <c r="H346" s="23">
        <f>IF(A346="","",ROUND(C346-F346-G346,2))</f>
        <v>32430.98</v>
      </c>
      <c r="I346" s="20">
        <f>IF(A346="","",ROUNDUP(A346/12,0))</f>
        <v>29</v>
      </c>
    </row>
    <row r="347" spans="1:9" x14ac:dyDescent="0.25">
      <c r="A347" s="20">
        <f>IF(H346="","",IF(H346&gt;0.005,A346+1,""))</f>
        <v>343</v>
      </c>
      <c r="B347" s="21">
        <f>IF(A347="","",EDATE('Calculator'!$B$7,A347-1))</f>
        <v>56810</v>
      </c>
      <c r="C347" s="22">
        <f>IF(A347="","",H346)</f>
        <v>32430.98</v>
      </c>
      <c r="D347" s="22">
        <f>IF(A347="","",MIN('Calculator'!$B$10,C347+E347))</f>
        <v>1896.21</v>
      </c>
      <c r="E347" s="22">
        <f>IF(A347="","",ROUND(C347*'Calculator'!$B$5/12,2))</f>
        <v>175.67</v>
      </c>
      <c r="F347" s="22">
        <f>IF(A347="","",D347-E347)</f>
        <v>1720.54</v>
      </c>
      <c r="G347" s="22">
        <f>IF(A347="","",MAX(0,MIN(N('Calculator'!$B$8),C347-F347)))</f>
        <v>0</v>
      </c>
      <c r="H347" s="23">
        <f>IF(A347="","",ROUND(C347-F347-G347,2))</f>
        <v>30710.44</v>
      </c>
      <c r="I347" s="20">
        <f>IF(A347="","",ROUNDUP(A347/12,0))</f>
        <v>29</v>
      </c>
    </row>
    <row r="348" spans="1:9" x14ac:dyDescent="0.25">
      <c r="A348" s="20">
        <f>IF(H347="","",IF(H347&gt;0.005,A347+1,""))</f>
        <v>344</v>
      </c>
      <c r="B348" s="21">
        <f>IF(A348="","",EDATE('Calculator'!$B$7,A348-1))</f>
        <v>56841</v>
      </c>
      <c r="C348" s="22">
        <f>IF(A348="","",H347)</f>
        <v>30710.44</v>
      </c>
      <c r="D348" s="22">
        <f>IF(A348="","",MIN('Calculator'!$B$10,C348+E348))</f>
        <v>1896.21</v>
      </c>
      <c r="E348" s="22">
        <f>IF(A348="","",ROUND(C348*'Calculator'!$B$5/12,2))</f>
        <v>166.35</v>
      </c>
      <c r="F348" s="22">
        <f>IF(A348="","",D348-E348)</f>
        <v>1729.86</v>
      </c>
      <c r="G348" s="22">
        <f>IF(A348="","",MAX(0,MIN(N('Calculator'!$B$8),C348-F348)))</f>
        <v>0</v>
      </c>
      <c r="H348" s="23">
        <f>IF(A348="","",ROUND(C348-F348-G348,2))</f>
        <v>28980.58</v>
      </c>
      <c r="I348" s="20">
        <f>IF(A348="","",ROUNDUP(A348/12,0))</f>
        <v>29</v>
      </c>
    </row>
    <row r="349" spans="1:9" x14ac:dyDescent="0.25">
      <c r="A349" s="20">
        <f>IF(H348="","",IF(H348&gt;0.005,A348+1,""))</f>
        <v>345</v>
      </c>
      <c r="B349" s="21">
        <f>IF(A349="","",EDATE('Calculator'!$B$7,A349-1))</f>
        <v>56872</v>
      </c>
      <c r="C349" s="22">
        <f>IF(A349="","",H348)</f>
        <v>28980.58</v>
      </c>
      <c r="D349" s="22">
        <f>IF(A349="","",MIN('Calculator'!$B$10,C349+E349))</f>
        <v>1896.21</v>
      </c>
      <c r="E349" s="22">
        <f>IF(A349="","",ROUND(C349*'Calculator'!$B$5/12,2))</f>
        <v>156.98</v>
      </c>
      <c r="F349" s="22">
        <f>IF(A349="","",D349-E349)</f>
        <v>1739.23</v>
      </c>
      <c r="G349" s="22">
        <f>IF(A349="","",MAX(0,MIN(N('Calculator'!$B$8),C349-F349)))</f>
        <v>0</v>
      </c>
      <c r="H349" s="23">
        <f>IF(A349="","",ROUND(C349-F349-G349,2))</f>
        <v>27241.35</v>
      </c>
      <c r="I349" s="20">
        <f>IF(A349="","",ROUNDUP(A349/12,0))</f>
        <v>29</v>
      </c>
    </row>
    <row r="350" spans="1:9" x14ac:dyDescent="0.25">
      <c r="A350" s="20">
        <f>IF(H349="","",IF(H349&gt;0.005,A349+1,""))</f>
        <v>346</v>
      </c>
      <c r="B350" s="21">
        <f>IF(A350="","",EDATE('Calculator'!$B$7,A350-1))</f>
        <v>56902</v>
      </c>
      <c r="C350" s="22">
        <f>IF(A350="","",H349)</f>
        <v>27241.35</v>
      </c>
      <c r="D350" s="22">
        <f>IF(A350="","",MIN('Calculator'!$B$10,C350+E350))</f>
        <v>1896.21</v>
      </c>
      <c r="E350" s="22">
        <f>IF(A350="","",ROUND(C350*'Calculator'!$B$5/12,2))</f>
        <v>147.56</v>
      </c>
      <c r="F350" s="22">
        <f>IF(A350="","",D350-E350)</f>
        <v>1748.65</v>
      </c>
      <c r="G350" s="22">
        <f>IF(A350="","",MAX(0,MIN(N('Calculator'!$B$8),C350-F350)))</f>
        <v>0</v>
      </c>
      <c r="H350" s="23">
        <f>IF(A350="","",ROUND(C350-F350-G350,2))</f>
        <v>25492.7</v>
      </c>
      <c r="I350" s="20">
        <f>IF(A350="","",ROUNDUP(A350/12,0))</f>
        <v>29</v>
      </c>
    </row>
    <row r="351" spans="1:9" x14ac:dyDescent="0.25">
      <c r="A351" s="20">
        <f>IF(H350="","",IF(H350&gt;0.005,A350+1,""))</f>
        <v>347</v>
      </c>
      <c r="B351" s="21">
        <f>IF(A351="","",EDATE('Calculator'!$B$7,A351-1))</f>
        <v>56933</v>
      </c>
      <c r="C351" s="22">
        <f>IF(A351="","",H350)</f>
        <v>25492.7</v>
      </c>
      <c r="D351" s="22">
        <f>IF(A351="","",MIN('Calculator'!$B$10,C351+E351))</f>
        <v>1896.21</v>
      </c>
      <c r="E351" s="22">
        <f>IF(A351="","",ROUND(C351*'Calculator'!$B$5/12,2))</f>
        <v>138.09</v>
      </c>
      <c r="F351" s="22">
        <f>IF(A351="","",D351-E351)</f>
        <v>1758.12</v>
      </c>
      <c r="G351" s="22">
        <f>IF(A351="","",MAX(0,MIN(N('Calculator'!$B$8),C351-F351)))</f>
        <v>0</v>
      </c>
      <c r="H351" s="23">
        <f>IF(A351="","",ROUND(C351-F351-G351,2))</f>
        <v>23734.58</v>
      </c>
      <c r="I351" s="20">
        <f>IF(A351="","",ROUNDUP(A351/12,0))</f>
        <v>29</v>
      </c>
    </row>
    <row r="352" spans="1:9" x14ac:dyDescent="0.25">
      <c r="A352" s="20">
        <f>IF(H351="","",IF(H351&gt;0.005,A351+1,""))</f>
        <v>348</v>
      </c>
      <c r="B352" s="21">
        <f>IF(A352="","",EDATE('Calculator'!$B$7,A352-1))</f>
        <v>56963</v>
      </c>
      <c r="C352" s="22">
        <f>IF(A352="","",H351)</f>
        <v>23734.58</v>
      </c>
      <c r="D352" s="22">
        <f>IF(A352="","",MIN('Calculator'!$B$10,C352+E352))</f>
        <v>1896.21</v>
      </c>
      <c r="E352" s="22">
        <f>IF(A352="","",ROUND(C352*'Calculator'!$B$5/12,2))</f>
        <v>128.56</v>
      </c>
      <c r="F352" s="22">
        <f>IF(A352="","",D352-E352)</f>
        <v>1767.65</v>
      </c>
      <c r="G352" s="22">
        <f>IF(A352="","",MAX(0,MIN(N('Calculator'!$B$8),C352-F352)))</f>
        <v>0</v>
      </c>
      <c r="H352" s="23">
        <f>IF(A352="","",ROUND(C352-F352-G352,2))</f>
        <v>21966.93</v>
      </c>
      <c r="I352" s="20">
        <f>IF(A352="","",ROUNDUP(A352/12,0))</f>
        <v>29</v>
      </c>
    </row>
    <row r="353" spans="1:9" x14ac:dyDescent="0.25">
      <c r="A353" s="20">
        <f>IF(H352="","",IF(H352&gt;0.005,A352+1,""))</f>
        <v>349</v>
      </c>
      <c r="B353" s="21">
        <f>IF(A353="","",EDATE('Calculator'!$B$7,A353-1))</f>
        <v>56994</v>
      </c>
      <c r="C353" s="22">
        <f>IF(A353="","",H352)</f>
        <v>21966.93</v>
      </c>
      <c r="D353" s="22">
        <f>IF(A353="","",MIN('Calculator'!$B$10,C353+E353))</f>
        <v>1896.21</v>
      </c>
      <c r="E353" s="22">
        <f>IF(A353="","",ROUND(C353*'Calculator'!$B$5/12,2))</f>
        <v>118.99</v>
      </c>
      <c r="F353" s="22">
        <f>IF(A353="","",D353-E353)</f>
        <v>1777.22</v>
      </c>
      <c r="G353" s="22">
        <f>IF(A353="","",MAX(0,MIN(N('Calculator'!$B$8),C353-F353)))</f>
        <v>0</v>
      </c>
      <c r="H353" s="23">
        <f>IF(A353="","",ROUND(C353-F353-G353,2))</f>
        <v>20189.71</v>
      </c>
      <c r="I353" s="20">
        <f>IF(A353="","",ROUNDUP(A353/12,0))</f>
        <v>30</v>
      </c>
    </row>
    <row r="354" spans="1:9" x14ac:dyDescent="0.25">
      <c r="A354" s="20">
        <f>IF(H353="","",IF(H353&gt;0.005,A353+1,""))</f>
        <v>350</v>
      </c>
      <c r="B354" s="21">
        <f>IF(A354="","",EDATE('Calculator'!$B$7,A354-1))</f>
        <v>57025</v>
      </c>
      <c r="C354" s="22">
        <f>IF(A354="","",H353)</f>
        <v>20189.71</v>
      </c>
      <c r="D354" s="22">
        <f>IF(A354="","",MIN('Calculator'!$B$10,C354+E354))</f>
        <v>1896.21</v>
      </c>
      <c r="E354" s="22">
        <f>IF(A354="","",ROUND(C354*'Calculator'!$B$5/12,2))</f>
        <v>109.36</v>
      </c>
      <c r="F354" s="22">
        <f>IF(A354="","",D354-E354)</f>
        <v>1786.85</v>
      </c>
      <c r="G354" s="22">
        <f>IF(A354="","",MAX(0,MIN(N('Calculator'!$B$8),C354-F354)))</f>
        <v>0</v>
      </c>
      <c r="H354" s="23">
        <f>IF(A354="","",ROUND(C354-F354-G354,2))</f>
        <v>18402.86</v>
      </c>
      <c r="I354" s="20">
        <f>IF(A354="","",ROUNDUP(A354/12,0))</f>
        <v>30</v>
      </c>
    </row>
    <row r="355" spans="1:9" x14ac:dyDescent="0.25">
      <c r="A355" s="20">
        <f>IF(H354="","",IF(H354&gt;0.005,A354+1,""))</f>
        <v>351</v>
      </c>
      <c r="B355" s="21">
        <f>IF(A355="","",EDATE('Calculator'!$B$7,A355-1))</f>
        <v>57054</v>
      </c>
      <c r="C355" s="22">
        <f>IF(A355="","",H354)</f>
        <v>18402.86</v>
      </c>
      <c r="D355" s="22">
        <f>IF(A355="","",MIN('Calculator'!$B$10,C355+E355))</f>
        <v>1896.21</v>
      </c>
      <c r="E355" s="22">
        <f>IF(A355="","",ROUND(C355*'Calculator'!$B$5/12,2))</f>
        <v>99.68</v>
      </c>
      <c r="F355" s="22">
        <f>IF(A355="","",D355-E355)</f>
        <v>1796.53</v>
      </c>
      <c r="G355" s="22">
        <f>IF(A355="","",MAX(0,MIN(N('Calculator'!$B$8),C355-F355)))</f>
        <v>0</v>
      </c>
      <c r="H355" s="23">
        <f>IF(A355="","",ROUND(C355-F355-G355,2))</f>
        <v>16606.33</v>
      </c>
      <c r="I355" s="20">
        <f>IF(A355="","",ROUNDUP(A355/12,0))</f>
        <v>30</v>
      </c>
    </row>
    <row r="356" spans="1:9" x14ac:dyDescent="0.25">
      <c r="A356" s="20">
        <f>IF(H355="","",IF(H355&gt;0.005,A355+1,""))</f>
        <v>352</v>
      </c>
      <c r="B356" s="21">
        <f>IF(A356="","",EDATE('Calculator'!$B$7,A356-1))</f>
        <v>57085</v>
      </c>
      <c r="C356" s="22">
        <f>IF(A356="","",H355)</f>
        <v>16606.33</v>
      </c>
      <c r="D356" s="22">
        <f>IF(A356="","",MIN('Calculator'!$B$10,C356+E356))</f>
        <v>1896.21</v>
      </c>
      <c r="E356" s="22">
        <f>IF(A356="","",ROUND(C356*'Calculator'!$B$5/12,2))</f>
        <v>89.95</v>
      </c>
      <c r="F356" s="22">
        <f>IF(A356="","",D356-E356)</f>
        <v>1806.26</v>
      </c>
      <c r="G356" s="22">
        <f>IF(A356="","",MAX(0,MIN(N('Calculator'!$B$8),C356-F356)))</f>
        <v>0</v>
      </c>
      <c r="H356" s="23">
        <f>IF(A356="","",ROUND(C356-F356-G356,2))</f>
        <v>14800.07</v>
      </c>
      <c r="I356" s="20">
        <f>IF(A356="","",ROUNDUP(A356/12,0))</f>
        <v>30</v>
      </c>
    </row>
    <row r="357" spans="1:9" x14ac:dyDescent="0.25">
      <c r="A357" s="20">
        <f>IF(H356="","",IF(H356&gt;0.005,A356+1,""))</f>
        <v>353</v>
      </c>
      <c r="B357" s="21">
        <f>IF(A357="","",EDATE('Calculator'!$B$7,A357-1))</f>
        <v>57115</v>
      </c>
      <c r="C357" s="22">
        <f>IF(A357="","",H356)</f>
        <v>14800.07</v>
      </c>
      <c r="D357" s="22">
        <f>IF(A357="","",MIN('Calculator'!$B$10,C357+E357))</f>
        <v>1896.21</v>
      </c>
      <c r="E357" s="22">
        <f>IF(A357="","",ROUND(C357*'Calculator'!$B$5/12,2))</f>
        <v>80.17</v>
      </c>
      <c r="F357" s="22">
        <f>IF(A357="","",D357-E357)</f>
        <v>1816.04</v>
      </c>
      <c r="G357" s="22">
        <f>IF(A357="","",MAX(0,MIN(N('Calculator'!$B$8),C357-F357)))</f>
        <v>0</v>
      </c>
      <c r="H357" s="23">
        <f>IF(A357="","",ROUND(C357-F357-G357,2))</f>
        <v>12984.03</v>
      </c>
      <c r="I357" s="20">
        <f>IF(A357="","",ROUNDUP(A357/12,0))</f>
        <v>30</v>
      </c>
    </row>
    <row r="358" spans="1:9" x14ac:dyDescent="0.25">
      <c r="A358" s="20">
        <f>IF(H357="","",IF(H357&gt;0.005,A357+1,""))</f>
        <v>354</v>
      </c>
      <c r="B358" s="21">
        <f>IF(A358="","",EDATE('Calculator'!$B$7,A358-1))</f>
        <v>57146</v>
      </c>
      <c r="C358" s="22">
        <f>IF(A358="","",H357)</f>
        <v>12984.03</v>
      </c>
      <c r="D358" s="22">
        <f>IF(A358="","",MIN('Calculator'!$B$10,C358+E358))</f>
        <v>1896.21</v>
      </c>
      <c r="E358" s="22">
        <f>IF(A358="","",ROUND(C358*'Calculator'!$B$5/12,2))</f>
        <v>70.33</v>
      </c>
      <c r="F358" s="22">
        <f>IF(A358="","",D358-E358)</f>
        <v>1825.88</v>
      </c>
      <c r="G358" s="22">
        <f>IF(A358="","",MAX(0,MIN(N('Calculator'!$B$8),C358-F358)))</f>
        <v>0</v>
      </c>
      <c r="H358" s="23">
        <f>IF(A358="","",ROUND(C358-F358-G358,2))</f>
        <v>11158.15</v>
      </c>
      <c r="I358" s="20">
        <f>IF(A358="","",ROUNDUP(A358/12,0))</f>
        <v>30</v>
      </c>
    </row>
    <row r="359" spans="1:9" x14ac:dyDescent="0.25">
      <c r="A359" s="20">
        <f>IF(H358="","",IF(H358&gt;0.005,A358+1,""))</f>
        <v>355</v>
      </c>
      <c r="B359" s="21">
        <f>IF(A359="","",EDATE('Calculator'!$B$7,A359-1))</f>
        <v>57176</v>
      </c>
      <c r="C359" s="22">
        <f>IF(A359="","",H358)</f>
        <v>11158.15</v>
      </c>
      <c r="D359" s="22">
        <f>IF(A359="","",MIN('Calculator'!$B$10,C359+E359))</f>
        <v>1896.21</v>
      </c>
      <c r="E359" s="22">
        <f>IF(A359="","",ROUND(C359*'Calculator'!$B$5/12,2))</f>
        <v>60.44</v>
      </c>
      <c r="F359" s="22">
        <f>IF(A359="","",D359-E359)</f>
        <v>1835.77</v>
      </c>
      <c r="G359" s="22">
        <f>IF(A359="","",MAX(0,MIN(N('Calculator'!$B$8),C359-F359)))</f>
        <v>0</v>
      </c>
      <c r="H359" s="23">
        <f>IF(A359="","",ROUND(C359-F359-G359,2))</f>
        <v>9322.38</v>
      </c>
      <c r="I359" s="20">
        <f>IF(A359="","",ROUNDUP(A359/12,0))</f>
        <v>30</v>
      </c>
    </row>
    <row r="360" spans="1:9" x14ac:dyDescent="0.25">
      <c r="A360" s="20">
        <f>IF(H359="","",IF(H359&gt;0.005,A359+1,""))</f>
        <v>356</v>
      </c>
      <c r="B360" s="21">
        <f>IF(A360="","",EDATE('Calculator'!$B$7,A360-1))</f>
        <v>57207</v>
      </c>
      <c r="C360" s="22">
        <f>IF(A360="","",H359)</f>
        <v>9322.38</v>
      </c>
      <c r="D360" s="22">
        <f>IF(A360="","",MIN('Calculator'!$B$10,C360+E360))</f>
        <v>1896.21</v>
      </c>
      <c r="E360" s="22">
        <f>IF(A360="","",ROUND(C360*'Calculator'!$B$5/12,2))</f>
        <v>50.5</v>
      </c>
      <c r="F360" s="22">
        <f>IF(A360="","",D360-E360)</f>
        <v>1845.71</v>
      </c>
      <c r="G360" s="22">
        <f>IF(A360="","",MAX(0,MIN(N('Calculator'!$B$8),C360-F360)))</f>
        <v>0</v>
      </c>
      <c r="H360" s="23">
        <f>IF(A360="","",ROUND(C360-F360-G360,2))</f>
        <v>7476.67</v>
      </c>
      <c r="I360" s="20">
        <f>IF(A360="","",ROUNDUP(A360/12,0))</f>
        <v>30</v>
      </c>
    </row>
    <row r="361" spans="1:9" x14ac:dyDescent="0.25">
      <c r="A361" s="20">
        <f>IF(H360="","",IF(H360&gt;0.005,A360+1,""))</f>
        <v>357</v>
      </c>
      <c r="B361" s="21">
        <f>IF(A361="","",EDATE('Calculator'!$B$7,A361-1))</f>
        <v>57238</v>
      </c>
      <c r="C361" s="22">
        <f>IF(A361="","",H360)</f>
        <v>7476.67</v>
      </c>
      <c r="D361" s="22">
        <f>IF(A361="","",MIN('Calculator'!$B$10,C361+E361))</f>
        <v>1896.21</v>
      </c>
      <c r="E361" s="22">
        <f>IF(A361="","",ROUND(C361*'Calculator'!$B$5/12,2))</f>
        <v>40.5</v>
      </c>
      <c r="F361" s="22">
        <f>IF(A361="","",D361-E361)</f>
        <v>1855.71</v>
      </c>
      <c r="G361" s="22">
        <f>IF(A361="","",MAX(0,MIN(N('Calculator'!$B$8),C361-F361)))</f>
        <v>0</v>
      </c>
      <c r="H361" s="23">
        <f>IF(A361="","",ROUND(C361-F361-G361,2))</f>
        <v>5620.96</v>
      </c>
      <c r="I361" s="20">
        <f>IF(A361="","",ROUNDUP(A361/12,0))</f>
        <v>30</v>
      </c>
    </row>
    <row r="362" spans="1:9" x14ac:dyDescent="0.25">
      <c r="A362" s="20">
        <f>IF(H361="","",IF(H361&gt;0.005,A361+1,""))</f>
        <v>358</v>
      </c>
      <c r="B362" s="21">
        <f>IF(A362="","",EDATE('Calculator'!$B$7,A362-1))</f>
        <v>57268</v>
      </c>
      <c r="C362" s="22">
        <f>IF(A362="","",H361)</f>
        <v>5620.96</v>
      </c>
      <c r="D362" s="22">
        <f>IF(A362="","",MIN('Calculator'!$B$10,C362+E362))</f>
        <v>1896.21</v>
      </c>
      <c r="E362" s="22">
        <f>IF(A362="","",ROUND(C362*'Calculator'!$B$5/12,2))</f>
        <v>30.45</v>
      </c>
      <c r="F362" s="22">
        <f>IF(A362="","",D362-E362)</f>
        <v>1865.76</v>
      </c>
      <c r="G362" s="22">
        <f>IF(A362="","",MAX(0,MIN(N('Calculator'!$B$8),C362-F362)))</f>
        <v>0</v>
      </c>
      <c r="H362" s="23">
        <f>IF(A362="","",ROUND(C362-F362-G362,2))</f>
        <v>3755.2</v>
      </c>
      <c r="I362" s="20">
        <f>IF(A362="","",ROUNDUP(A362/12,0))</f>
        <v>30</v>
      </c>
    </row>
    <row r="363" spans="1:9" x14ac:dyDescent="0.25">
      <c r="A363" s="20">
        <f>IF(H362="","",IF(H362&gt;0.005,A362+1,""))</f>
        <v>359</v>
      </c>
      <c r="B363" s="21">
        <f>IF(A363="","",EDATE('Calculator'!$B$7,A363-1))</f>
        <v>57299</v>
      </c>
      <c r="C363" s="22">
        <f>IF(A363="","",H362)</f>
        <v>3755.2</v>
      </c>
      <c r="D363" s="22">
        <f>IF(A363="","",MIN('Calculator'!$B$10,C363+E363))</f>
        <v>1896.21</v>
      </c>
      <c r="E363" s="22">
        <f>IF(A363="","",ROUND(C363*'Calculator'!$B$5/12,2))</f>
        <v>20.34</v>
      </c>
      <c r="F363" s="22">
        <f>IF(A363="","",D363-E363)</f>
        <v>1875.87</v>
      </c>
      <c r="G363" s="22">
        <f>IF(A363="","",MAX(0,MIN(N('Calculator'!$B$8),C363-F363)))</f>
        <v>0</v>
      </c>
      <c r="H363" s="23">
        <f>IF(A363="","",ROUND(C363-F363-G363,2))</f>
        <v>1879.33</v>
      </c>
      <c r="I363" s="20">
        <f>IF(A363="","",ROUNDUP(A363/12,0))</f>
        <v>30</v>
      </c>
    </row>
    <row r="364" spans="1:9" x14ac:dyDescent="0.25">
      <c r="A364" s="20">
        <f>IF(H363="","",IF(H363&gt;0.005,A363+1,""))</f>
        <v>360</v>
      </c>
      <c r="B364" s="21">
        <f>IF(A364="","",EDATE('Calculator'!$B$7,A364-1))</f>
        <v>57329</v>
      </c>
      <c r="C364" s="22">
        <f>IF(A364="","",H363)</f>
        <v>1879.33</v>
      </c>
      <c r="D364" s="22">
        <f>IF(A364="","",MIN('Calculator'!$B$10,C364+E364))</f>
        <v>1889.51</v>
      </c>
      <c r="E364" s="22">
        <f>IF(A364="","",ROUND(C364*'Calculator'!$B$5/12,2))</f>
        <v>10.18</v>
      </c>
      <c r="F364" s="22">
        <f>IF(A364="","",D364-E364)</f>
        <v>1879.33</v>
      </c>
      <c r="G364" s="22">
        <f>IF(A364="","",MAX(0,MIN(N('Calculator'!$B$8),C364-F364)))</f>
        <v>0</v>
      </c>
      <c r="H364" s="23">
        <f>IF(A364="","",ROUND(C364-F364-G364,2))</f>
        <v>0</v>
      </c>
      <c r="I364" s="20">
        <f>IF(A364="","",ROUNDUP(A364/12,0))</f>
        <v>30</v>
      </c>
    </row>
    <row r="365" spans="1:9" x14ac:dyDescent="0.25">
      <c r="A365" s="20" t="str">
        <f>IF(H364="","",IF(H364&gt;0.005,A364+1,""))</f>
        <v/>
      </c>
      <c r="B365" s="21" t="str">
        <f>IF(A365="","",EDATE('Calculator'!$B$7,A365-1))</f>
        <v/>
      </c>
      <c r="C365" s="22" t="str">
        <f>IF(A365="","",H364)</f>
        <v/>
      </c>
      <c r="D365" s="22" t="str">
        <f>IF(A365="","",MIN('Calculator'!$B$10,C365+E365))</f>
        <v/>
      </c>
      <c r="E365" s="22" t="str">
        <f>IF(A365="","",ROUND(C365*'Calculator'!$B$5/12,2))</f>
        <v/>
      </c>
      <c r="F365" s="22" t="str">
        <f>IF(A365="","",D365-E365)</f>
        <v/>
      </c>
      <c r="G365" s="22" t="str">
        <f>IF(A365="","",MAX(0,MIN(N('Calculator'!$B$8),C365-F365)))</f>
        <v/>
      </c>
      <c r="H365" s="23" t="str">
        <f>IF(A365="","",ROUND(C365-F365-G365,2))</f>
        <v/>
      </c>
      <c r="I365" s="20" t="str">
        <f>IF(A365="","",ROUNDUP(A365/12,0))</f>
        <v/>
      </c>
    </row>
    <row r="366" spans="1:9" x14ac:dyDescent="0.25">
      <c r="A366" s="20" t="str">
        <f>IF(H365="","",IF(H365&gt;0.005,A365+1,""))</f>
        <v/>
      </c>
      <c r="B366" s="21" t="str">
        <f>IF(A366="","",EDATE('Calculator'!$B$7,A366-1))</f>
        <v/>
      </c>
      <c r="C366" s="22" t="str">
        <f>IF(A366="","",H365)</f>
        <v/>
      </c>
      <c r="D366" s="22" t="str">
        <f>IF(A366="","",MIN('Calculator'!$B$10,C366+E366))</f>
        <v/>
      </c>
      <c r="E366" s="22" t="str">
        <f>IF(A366="","",ROUND(C366*'Calculator'!$B$5/12,2))</f>
        <v/>
      </c>
      <c r="F366" s="22" t="str">
        <f>IF(A366="","",D366-E366)</f>
        <v/>
      </c>
      <c r="G366" s="22" t="str">
        <f>IF(A366="","",MAX(0,MIN(N('Calculator'!$B$8),C366-F366)))</f>
        <v/>
      </c>
      <c r="H366" s="23" t="str">
        <f>IF(A366="","",ROUND(C366-F366-G366,2))</f>
        <v/>
      </c>
      <c r="I366" s="20" t="str">
        <f>IF(A366="","",ROUNDUP(A366/12,0))</f>
        <v/>
      </c>
    </row>
    <row r="367" spans="1:9" x14ac:dyDescent="0.25">
      <c r="A367" s="20" t="str">
        <f>IF(H366="","",IF(H366&gt;0.005,A366+1,""))</f>
        <v/>
      </c>
      <c r="B367" s="21" t="str">
        <f>IF(A367="","",EDATE('Calculator'!$B$7,A367-1))</f>
        <v/>
      </c>
      <c r="C367" s="22" t="str">
        <f>IF(A367="","",H366)</f>
        <v/>
      </c>
      <c r="D367" s="22" t="str">
        <f>IF(A367="","",MIN('Calculator'!$B$10,C367+E367))</f>
        <v/>
      </c>
      <c r="E367" s="22" t="str">
        <f>IF(A367="","",ROUND(C367*'Calculator'!$B$5/12,2))</f>
        <v/>
      </c>
      <c r="F367" s="22" t="str">
        <f>IF(A367="","",D367-E367)</f>
        <v/>
      </c>
      <c r="G367" s="22" t="str">
        <f>IF(A367="","",MAX(0,MIN(N('Calculator'!$B$8),C367-F367)))</f>
        <v/>
      </c>
      <c r="H367" s="23" t="str">
        <f>IF(A367="","",ROUND(C367-F367-G367,2))</f>
        <v/>
      </c>
      <c r="I367" s="20" t="str">
        <f>IF(A367="","",ROUNDUP(A367/12,0))</f>
        <v/>
      </c>
    </row>
    <row r="368" spans="1:9" x14ac:dyDescent="0.25">
      <c r="A368" s="20" t="str">
        <f>IF(H367="","",IF(H367&gt;0.005,A367+1,""))</f>
        <v/>
      </c>
      <c r="B368" s="21" t="str">
        <f>IF(A368="","",EDATE('Calculator'!$B$7,A368-1))</f>
        <v/>
      </c>
      <c r="C368" s="22" t="str">
        <f>IF(A368="","",H367)</f>
        <v/>
      </c>
      <c r="D368" s="22" t="str">
        <f>IF(A368="","",MIN('Calculator'!$B$10,C368+E368))</f>
        <v/>
      </c>
      <c r="E368" s="22" t="str">
        <f>IF(A368="","",ROUND(C368*'Calculator'!$B$5/12,2))</f>
        <v/>
      </c>
      <c r="F368" s="22" t="str">
        <f>IF(A368="","",D368-E368)</f>
        <v/>
      </c>
      <c r="G368" s="22" t="str">
        <f>IF(A368="","",MAX(0,MIN(N('Calculator'!$B$8),C368-F368)))</f>
        <v/>
      </c>
      <c r="H368" s="23" t="str">
        <f>IF(A368="","",ROUND(C368-F368-G368,2))</f>
        <v/>
      </c>
      <c r="I368" s="20" t="str">
        <f>IF(A368="","",ROUNDUP(A368/12,0))</f>
        <v/>
      </c>
    </row>
    <row r="369" spans="1:9" x14ac:dyDescent="0.25">
      <c r="A369" s="20" t="str">
        <f>IF(H368="","",IF(H368&gt;0.005,A368+1,""))</f>
        <v/>
      </c>
      <c r="B369" s="21" t="str">
        <f>IF(A369="","",EDATE('Calculator'!$B$7,A369-1))</f>
        <v/>
      </c>
      <c r="C369" s="22" t="str">
        <f>IF(A369="","",H368)</f>
        <v/>
      </c>
      <c r="D369" s="22" t="str">
        <f>IF(A369="","",MIN('Calculator'!$B$10,C369+E369))</f>
        <v/>
      </c>
      <c r="E369" s="22" t="str">
        <f>IF(A369="","",ROUND(C369*'Calculator'!$B$5/12,2))</f>
        <v/>
      </c>
      <c r="F369" s="22" t="str">
        <f>IF(A369="","",D369-E369)</f>
        <v/>
      </c>
      <c r="G369" s="22" t="str">
        <f>IF(A369="","",MAX(0,MIN(N('Calculator'!$B$8),C369-F369)))</f>
        <v/>
      </c>
      <c r="H369" s="23" t="str">
        <f>IF(A369="","",ROUND(C369-F369-G369,2))</f>
        <v/>
      </c>
      <c r="I369" s="20" t="str">
        <f>IF(A369="","",ROUNDUP(A369/12,0))</f>
        <v/>
      </c>
    </row>
    <row r="370" spans="1:9" x14ac:dyDescent="0.25">
      <c r="A370" s="20" t="str">
        <f>IF(H369="","",IF(H369&gt;0.005,A369+1,""))</f>
        <v/>
      </c>
      <c r="B370" s="21" t="str">
        <f>IF(A370="","",EDATE('Calculator'!$B$7,A370-1))</f>
        <v/>
      </c>
      <c r="C370" s="22" t="str">
        <f>IF(A370="","",H369)</f>
        <v/>
      </c>
      <c r="D370" s="22" t="str">
        <f>IF(A370="","",MIN('Calculator'!$B$10,C370+E370))</f>
        <v/>
      </c>
      <c r="E370" s="22" t="str">
        <f>IF(A370="","",ROUND(C370*'Calculator'!$B$5/12,2))</f>
        <v/>
      </c>
      <c r="F370" s="22" t="str">
        <f>IF(A370="","",D370-E370)</f>
        <v/>
      </c>
      <c r="G370" s="22" t="str">
        <f>IF(A370="","",MAX(0,MIN(N('Calculator'!$B$8),C370-F370)))</f>
        <v/>
      </c>
      <c r="H370" s="23" t="str">
        <f>IF(A370="","",ROUND(C370-F370-G370,2))</f>
        <v/>
      </c>
      <c r="I370" s="20" t="str">
        <f>IF(A370="","",ROUNDUP(A370/12,0))</f>
        <v/>
      </c>
    </row>
    <row r="371" spans="1:9" x14ac:dyDescent="0.25">
      <c r="A371" s="20" t="str">
        <f>IF(H370="","",IF(H370&gt;0.005,A370+1,""))</f>
        <v/>
      </c>
      <c r="B371" s="21" t="str">
        <f>IF(A371="","",EDATE('Calculator'!$B$7,A371-1))</f>
        <v/>
      </c>
      <c r="C371" s="22" t="str">
        <f>IF(A371="","",H370)</f>
        <v/>
      </c>
      <c r="D371" s="22" t="str">
        <f>IF(A371="","",MIN('Calculator'!$B$10,C371+E371))</f>
        <v/>
      </c>
      <c r="E371" s="22" t="str">
        <f>IF(A371="","",ROUND(C371*'Calculator'!$B$5/12,2))</f>
        <v/>
      </c>
      <c r="F371" s="22" t="str">
        <f>IF(A371="","",D371-E371)</f>
        <v/>
      </c>
      <c r="G371" s="22" t="str">
        <f>IF(A371="","",MAX(0,MIN(N('Calculator'!$B$8),C371-F371)))</f>
        <v/>
      </c>
      <c r="H371" s="23" t="str">
        <f>IF(A371="","",ROUND(C371-F371-G371,2))</f>
        <v/>
      </c>
      <c r="I371" s="20" t="str">
        <f>IF(A371="","",ROUNDUP(A371/12,0))</f>
        <v/>
      </c>
    </row>
    <row r="372" spans="1:9" x14ac:dyDescent="0.25">
      <c r="A372" s="20" t="str">
        <f>IF(H371="","",IF(H371&gt;0.005,A371+1,""))</f>
        <v/>
      </c>
      <c r="B372" s="21" t="str">
        <f>IF(A372="","",EDATE('Calculator'!$B$7,A372-1))</f>
        <v/>
      </c>
      <c r="C372" s="22" t="str">
        <f>IF(A372="","",H371)</f>
        <v/>
      </c>
      <c r="D372" s="22" t="str">
        <f>IF(A372="","",MIN('Calculator'!$B$10,C372+E372))</f>
        <v/>
      </c>
      <c r="E372" s="22" t="str">
        <f>IF(A372="","",ROUND(C372*'Calculator'!$B$5/12,2))</f>
        <v/>
      </c>
      <c r="F372" s="22" t="str">
        <f>IF(A372="","",D372-E372)</f>
        <v/>
      </c>
      <c r="G372" s="22" t="str">
        <f>IF(A372="","",MAX(0,MIN(N('Calculator'!$B$8),C372-F372)))</f>
        <v/>
      </c>
      <c r="H372" s="23" t="str">
        <f>IF(A372="","",ROUND(C372-F372-G372,2))</f>
        <v/>
      </c>
      <c r="I372" s="20" t="str">
        <f>IF(A372="","",ROUNDUP(A372/12,0))</f>
        <v/>
      </c>
    </row>
    <row r="373" spans="1:9" x14ac:dyDescent="0.25">
      <c r="A373" s="20" t="str">
        <f>IF(H372="","",IF(H372&gt;0.005,A372+1,""))</f>
        <v/>
      </c>
      <c r="B373" s="21" t="str">
        <f>IF(A373="","",EDATE('Calculator'!$B$7,A373-1))</f>
        <v/>
      </c>
      <c r="C373" s="22" t="str">
        <f>IF(A373="","",H372)</f>
        <v/>
      </c>
      <c r="D373" s="22" t="str">
        <f>IF(A373="","",MIN('Calculator'!$B$10,C373+E373))</f>
        <v/>
      </c>
      <c r="E373" s="22" t="str">
        <f>IF(A373="","",ROUND(C373*'Calculator'!$B$5/12,2))</f>
        <v/>
      </c>
      <c r="F373" s="22" t="str">
        <f>IF(A373="","",D373-E373)</f>
        <v/>
      </c>
      <c r="G373" s="22" t="str">
        <f>IF(A373="","",MAX(0,MIN(N('Calculator'!$B$8),C373-F373)))</f>
        <v/>
      </c>
      <c r="H373" s="23" t="str">
        <f>IF(A373="","",ROUND(C373-F373-G373,2))</f>
        <v/>
      </c>
      <c r="I373" s="20" t="str">
        <f>IF(A373="","",ROUNDUP(A373/12,0))</f>
        <v/>
      </c>
    </row>
    <row r="374" spans="1:9" x14ac:dyDescent="0.25">
      <c r="A374" s="20" t="str">
        <f>IF(H373="","",IF(H373&gt;0.005,A373+1,""))</f>
        <v/>
      </c>
      <c r="B374" s="21" t="str">
        <f>IF(A374="","",EDATE('Calculator'!$B$7,A374-1))</f>
        <v/>
      </c>
      <c r="C374" s="22" t="str">
        <f>IF(A374="","",H373)</f>
        <v/>
      </c>
      <c r="D374" s="22" t="str">
        <f>IF(A374="","",MIN('Calculator'!$B$10,C374+E374))</f>
        <v/>
      </c>
      <c r="E374" s="22" t="str">
        <f>IF(A374="","",ROUND(C374*'Calculator'!$B$5/12,2))</f>
        <v/>
      </c>
      <c r="F374" s="22" t="str">
        <f>IF(A374="","",D374-E374)</f>
        <v/>
      </c>
      <c r="G374" s="22" t="str">
        <f>IF(A374="","",MAX(0,MIN(N('Calculator'!$B$8),C374-F374)))</f>
        <v/>
      </c>
      <c r="H374" s="23" t="str">
        <f>IF(A374="","",ROUND(C374-F374-G374,2))</f>
        <v/>
      </c>
      <c r="I374" s="20" t="str">
        <f>IF(A374="","",ROUNDUP(A374/12,0))</f>
        <v/>
      </c>
    </row>
    <row r="375" spans="1:9" x14ac:dyDescent="0.25">
      <c r="A375" s="20" t="str">
        <f>IF(H374="","",IF(H374&gt;0.005,A374+1,""))</f>
        <v/>
      </c>
      <c r="B375" s="21" t="str">
        <f>IF(A375="","",EDATE('Calculator'!$B$7,A375-1))</f>
        <v/>
      </c>
      <c r="C375" s="22" t="str">
        <f>IF(A375="","",H374)</f>
        <v/>
      </c>
      <c r="D375" s="22" t="str">
        <f>IF(A375="","",MIN('Calculator'!$B$10,C375+E375))</f>
        <v/>
      </c>
      <c r="E375" s="22" t="str">
        <f>IF(A375="","",ROUND(C375*'Calculator'!$B$5/12,2))</f>
        <v/>
      </c>
      <c r="F375" s="22" t="str">
        <f>IF(A375="","",D375-E375)</f>
        <v/>
      </c>
      <c r="G375" s="22" t="str">
        <f>IF(A375="","",MAX(0,MIN(N('Calculator'!$B$8),C375-F375)))</f>
        <v/>
      </c>
      <c r="H375" s="23" t="str">
        <f>IF(A375="","",ROUND(C375-F375-G375,2))</f>
        <v/>
      </c>
      <c r="I375" s="20" t="str">
        <f>IF(A375="","",ROUNDUP(A375/12,0))</f>
        <v/>
      </c>
    </row>
    <row r="376" spans="1:9" x14ac:dyDescent="0.25">
      <c r="A376" s="20" t="str">
        <f>IF(H375="","",IF(H375&gt;0.005,A375+1,""))</f>
        <v/>
      </c>
      <c r="B376" s="21" t="str">
        <f>IF(A376="","",EDATE('Calculator'!$B$7,A376-1))</f>
        <v/>
      </c>
      <c r="C376" s="22" t="str">
        <f>IF(A376="","",H375)</f>
        <v/>
      </c>
      <c r="D376" s="22" t="str">
        <f>IF(A376="","",MIN('Calculator'!$B$10,C376+E376))</f>
        <v/>
      </c>
      <c r="E376" s="22" t="str">
        <f>IF(A376="","",ROUND(C376*'Calculator'!$B$5/12,2))</f>
        <v/>
      </c>
      <c r="F376" s="22" t="str">
        <f>IF(A376="","",D376-E376)</f>
        <v/>
      </c>
      <c r="G376" s="22" t="str">
        <f>IF(A376="","",MAX(0,MIN(N('Calculator'!$B$8),C376-F376)))</f>
        <v/>
      </c>
      <c r="H376" s="23" t="str">
        <f>IF(A376="","",ROUND(C376-F376-G376,2))</f>
        <v/>
      </c>
      <c r="I376" s="20" t="str">
        <f>IF(A376="","",ROUNDUP(A376/12,0))</f>
        <v/>
      </c>
    </row>
    <row r="377" spans="1:9" x14ac:dyDescent="0.25">
      <c r="A377" s="20" t="str">
        <f>IF(H376="","",IF(H376&gt;0.005,A376+1,""))</f>
        <v/>
      </c>
      <c r="B377" s="21" t="str">
        <f>IF(A377="","",EDATE('Calculator'!$B$7,A377-1))</f>
        <v/>
      </c>
      <c r="C377" s="22" t="str">
        <f>IF(A377="","",H376)</f>
        <v/>
      </c>
      <c r="D377" s="22" t="str">
        <f>IF(A377="","",MIN('Calculator'!$B$10,C377+E377))</f>
        <v/>
      </c>
      <c r="E377" s="22" t="str">
        <f>IF(A377="","",ROUND(C377*'Calculator'!$B$5/12,2))</f>
        <v/>
      </c>
      <c r="F377" s="22" t="str">
        <f>IF(A377="","",D377-E377)</f>
        <v/>
      </c>
      <c r="G377" s="22" t="str">
        <f>IF(A377="","",MAX(0,MIN(N('Calculator'!$B$8),C377-F377)))</f>
        <v/>
      </c>
      <c r="H377" s="23" t="str">
        <f>IF(A377="","",ROUND(C377-F377-G377,2))</f>
        <v/>
      </c>
      <c r="I377" s="20" t="str">
        <f>IF(A377="","",ROUNDUP(A377/12,0))</f>
        <v/>
      </c>
    </row>
    <row r="378" spans="1:9" x14ac:dyDescent="0.25">
      <c r="A378" s="20" t="str">
        <f>IF(H377="","",IF(H377&gt;0.005,A377+1,""))</f>
        <v/>
      </c>
      <c r="B378" s="21" t="str">
        <f>IF(A378="","",EDATE('Calculator'!$B$7,A378-1))</f>
        <v/>
      </c>
      <c r="C378" s="22" t="str">
        <f>IF(A378="","",H377)</f>
        <v/>
      </c>
      <c r="D378" s="22" t="str">
        <f>IF(A378="","",MIN('Calculator'!$B$10,C378+E378))</f>
        <v/>
      </c>
      <c r="E378" s="22" t="str">
        <f>IF(A378="","",ROUND(C378*'Calculator'!$B$5/12,2))</f>
        <v/>
      </c>
      <c r="F378" s="22" t="str">
        <f>IF(A378="","",D378-E378)</f>
        <v/>
      </c>
      <c r="G378" s="22" t="str">
        <f>IF(A378="","",MAX(0,MIN(N('Calculator'!$B$8),C378-F378)))</f>
        <v/>
      </c>
      <c r="H378" s="23" t="str">
        <f>IF(A378="","",ROUND(C378-F378-G378,2))</f>
        <v/>
      </c>
      <c r="I378" s="20" t="str">
        <f>IF(A378="","",ROUNDUP(A378/12,0))</f>
        <v/>
      </c>
    </row>
    <row r="379" spans="1:9" x14ac:dyDescent="0.25">
      <c r="A379" s="20" t="str">
        <f>IF(H378="","",IF(H378&gt;0.005,A378+1,""))</f>
        <v/>
      </c>
      <c r="B379" s="21" t="str">
        <f>IF(A379="","",EDATE('Calculator'!$B$7,A379-1))</f>
        <v/>
      </c>
      <c r="C379" s="22" t="str">
        <f>IF(A379="","",H378)</f>
        <v/>
      </c>
      <c r="D379" s="22" t="str">
        <f>IF(A379="","",MIN('Calculator'!$B$10,C379+E379))</f>
        <v/>
      </c>
      <c r="E379" s="22" t="str">
        <f>IF(A379="","",ROUND(C379*'Calculator'!$B$5/12,2))</f>
        <v/>
      </c>
      <c r="F379" s="22" t="str">
        <f>IF(A379="","",D379-E379)</f>
        <v/>
      </c>
      <c r="G379" s="22" t="str">
        <f>IF(A379="","",MAX(0,MIN(N('Calculator'!$B$8),C379-F379)))</f>
        <v/>
      </c>
      <c r="H379" s="23" t="str">
        <f>IF(A379="","",ROUND(C379-F379-G379,2))</f>
        <v/>
      </c>
      <c r="I379" s="20" t="str">
        <f>IF(A379="","",ROUNDUP(A379/12,0))</f>
        <v/>
      </c>
    </row>
    <row r="380" spans="1:9" x14ac:dyDescent="0.25">
      <c r="A380" s="20" t="str">
        <f>IF(H379="","",IF(H379&gt;0.005,A379+1,""))</f>
        <v/>
      </c>
      <c r="B380" s="21" t="str">
        <f>IF(A380="","",EDATE('Calculator'!$B$7,A380-1))</f>
        <v/>
      </c>
      <c r="C380" s="22" t="str">
        <f>IF(A380="","",H379)</f>
        <v/>
      </c>
      <c r="D380" s="22" t="str">
        <f>IF(A380="","",MIN('Calculator'!$B$10,C380+E380))</f>
        <v/>
      </c>
      <c r="E380" s="22" t="str">
        <f>IF(A380="","",ROUND(C380*'Calculator'!$B$5/12,2))</f>
        <v/>
      </c>
      <c r="F380" s="22" t="str">
        <f>IF(A380="","",D380-E380)</f>
        <v/>
      </c>
      <c r="G380" s="22" t="str">
        <f>IF(A380="","",MAX(0,MIN(N('Calculator'!$B$8),C380-F380)))</f>
        <v/>
      </c>
      <c r="H380" s="23" t="str">
        <f>IF(A380="","",ROUND(C380-F380-G380,2))</f>
        <v/>
      </c>
      <c r="I380" s="20" t="str">
        <f>IF(A380="","",ROUNDUP(A380/12,0))</f>
        <v/>
      </c>
    </row>
    <row r="381" spans="1:9" x14ac:dyDescent="0.25">
      <c r="A381" s="20" t="str">
        <f>IF(H380="","",IF(H380&gt;0.005,A380+1,""))</f>
        <v/>
      </c>
      <c r="B381" s="21" t="str">
        <f>IF(A381="","",EDATE('Calculator'!$B$7,A381-1))</f>
        <v/>
      </c>
      <c r="C381" s="22" t="str">
        <f>IF(A381="","",H380)</f>
        <v/>
      </c>
      <c r="D381" s="22" t="str">
        <f>IF(A381="","",MIN('Calculator'!$B$10,C381+E381))</f>
        <v/>
      </c>
      <c r="E381" s="22" t="str">
        <f>IF(A381="","",ROUND(C381*'Calculator'!$B$5/12,2))</f>
        <v/>
      </c>
      <c r="F381" s="22" t="str">
        <f>IF(A381="","",D381-E381)</f>
        <v/>
      </c>
      <c r="G381" s="22" t="str">
        <f>IF(A381="","",MAX(0,MIN(N('Calculator'!$B$8),C381-F381)))</f>
        <v/>
      </c>
      <c r="H381" s="23" t="str">
        <f>IF(A381="","",ROUND(C381-F381-G381,2))</f>
        <v/>
      </c>
      <c r="I381" s="20" t="str">
        <f>IF(A381="","",ROUNDUP(A381/12,0))</f>
        <v/>
      </c>
    </row>
    <row r="382" spans="1:9" x14ac:dyDescent="0.25">
      <c r="A382" s="20" t="str">
        <f>IF(H381="","",IF(H381&gt;0.005,A381+1,""))</f>
        <v/>
      </c>
      <c r="B382" s="21" t="str">
        <f>IF(A382="","",EDATE('Calculator'!$B$7,A382-1))</f>
        <v/>
      </c>
      <c r="C382" s="22" t="str">
        <f>IF(A382="","",H381)</f>
        <v/>
      </c>
      <c r="D382" s="22" t="str">
        <f>IF(A382="","",MIN('Calculator'!$B$10,C382+E382))</f>
        <v/>
      </c>
      <c r="E382" s="22" t="str">
        <f>IF(A382="","",ROUND(C382*'Calculator'!$B$5/12,2))</f>
        <v/>
      </c>
      <c r="F382" s="22" t="str">
        <f>IF(A382="","",D382-E382)</f>
        <v/>
      </c>
      <c r="G382" s="22" t="str">
        <f>IF(A382="","",MAX(0,MIN(N('Calculator'!$B$8),C382-F382)))</f>
        <v/>
      </c>
      <c r="H382" s="23" t="str">
        <f>IF(A382="","",ROUND(C382-F382-G382,2))</f>
        <v/>
      </c>
      <c r="I382" s="20" t="str">
        <f>IF(A382="","",ROUNDUP(A382/12,0))</f>
        <v/>
      </c>
    </row>
    <row r="383" spans="1:9" x14ac:dyDescent="0.25">
      <c r="A383" s="20" t="str">
        <f>IF(H382="","",IF(H382&gt;0.005,A382+1,""))</f>
        <v/>
      </c>
      <c r="B383" s="21" t="str">
        <f>IF(A383="","",EDATE('Calculator'!$B$7,A383-1))</f>
        <v/>
      </c>
      <c r="C383" s="22" t="str">
        <f>IF(A383="","",H382)</f>
        <v/>
      </c>
      <c r="D383" s="22" t="str">
        <f>IF(A383="","",MIN('Calculator'!$B$10,C383+E383))</f>
        <v/>
      </c>
      <c r="E383" s="22" t="str">
        <f>IF(A383="","",ROUND(C383*'Calculator'!$B$5/12,2))</f>
        <v/>
      </c>
      <c r="F383" s="22" t="str">
        <f>IF(A383="","",D383-E383)</f>
        <v/>
      </c>
      <c r="G383" s="22" t="str">
        <f>IF(A383="","",MAX(0,MIN(N('Calculator'!$B$8),C383-F383)))</f>
        <v/>
      </c>
      <c r="H383" s="23" t="str">
        <f>IF(A383="","",ROUND(C383-F383-G383,2))</f>
        <v/>
      </c>
      <c r="I383" s="20" t="str">
        <f>IF(A383="","",ROUNDUP(A383/12,0))</f>
        <v/>
      </c>
    </row>
    <row r="384" spans="1:9" x14ac:dyDescent="0.25">
      <c r="A384" s="20" t="str">
        <f>IF(H383="","",IF(H383&gt;0.005,A383+1,""))</f>
        <v/>
      </c>
      <c r="B384" s="21" t="str">
        <f>IF(A384="","",EDATE('Calculator'!$B$7,A384-1))</f>
        <v/>
      </c>
      <c r="C384" s="22" t="str">
        <f>IF(A384="","",H383)</f>
        <v/>
      </c>
      <c r="D384" s="22" t="str">
        <f>IF(A384="","",MIN('Calculator'!$B$10,C384+E384))</f>
        <v/>
      </c>
      <c r="E384" s="22" t="str">
        <f>IF(A384="","",ROUND(C384*'Calculator'!$B$5/12,2))</f>
        <v/>
      </c>
      <c r="F384" s="22" t="str">
        <f>IF(A384="","",D384-E384)</f>
        <v/>
      </c>
      <c r="G384" s="22" t="str">
        <f>IF(A384="","",MAX(0,MIN(N('Calculator'!$B$8),C384-F384)))</f>
        <v/>
      </c>
      <c r="H384" s="23" t="str">
        <f>IF(A384="","",ROUND(C384-F384-G384,2))</f>
        <v/>
      </c>
      <c r="I384" s="20" t="str">
        <f>IF(A384="","",ROUNDUP(A384/12,0))</f>
        <v/>
      </c>
    </row>
    <row r="385" spans="1:9" x14ac:dyDescent="0.25">
      <c r="A385" s="20" t="str">
        <f>IF(H384="","",IF(H384&gt;0.005,A384+1,""))</f>
        <v/>
      </c>
      <c r="B385" s="21" t="str">
        <f>IF(A385="","",EDATE('Calculator'!$B$7,A385-1))</f>
        <v/>
      </c>
      <c r="C385" s="22" t="str">
        <f>IF(A385="","",H384)</f>
        <v/>
      </c>
      <c r="D385" s="22" t="str">
        <f>IF(A385="","",MIN('Calculator'!$B$10,C385+E385))</f>
        <v/>
      </c>
      <c r="E385" s="22" t="str">
        <f>IF(A385="","",ROUND(C385*'Calculator'!$B$5/12,2))</f>
        <v/>
      </c>
      <c r="F385" s="22" t="str">
        <f>IF(A385="","",D385-E385)</f>
        <v/>
      </c>
      <c r="G385" s="22" t="str">
        <f>IF(A385="","",MAX(0,MIN(N('Calculator'!$B$8),C385-F385)))</f>
        <v/>
      </c>
      <c r="H385" s="23" t="str">
        <f>IF(A385="","",ROUND(C385-F385-G385,2))</f>
        <v/>
      </c>
      <c r="I385" s="20" t="str">
        <f>IF(A385="","",ROUNDUP(A385/12,0))</f>
        <v/>
      </c>
    </row>
    <row r="386" spans="1:9" x14ac:dyDescent="0.25">
      <c r="A386" s="20" t="str">
        <f>IF(H385="","",IF(H385&gt;0.005,A385+1,""))</f>
        <v/>
      </c>
      <c r="B386" s="21" t="str">
        <f>IF(A386="","",EDATE('Calculator'!$B$7,A386-1))</f>
        <v/>
      </c>
      <c r="C386" s="22" t="str">
        <f>IF(A386="","",H385)</f>
        <v/>
      </c>
      <c r="D386" s="22" t="str">
        <f>IF(A386="","",MIN('Calculator'!$B$10,C386+E386))</f>
        <v/>
      </c>
      <c r="E386" s="22" t="str">
        <f>IF(A386="","",ROUND(C386*'Calculator'!$B$5/12,2))</f>
        <v/>
      </c>
      <c r="F386" s="22" t="str">
        <f>IF(A386="","",D386-E386)</f>
        <v/>
      </c>
      <c r="G386" s="22" t="str">
        <f>IF(A386="","",MAX(0,MIN(N('Calculator'!$B$8),C386-F386)))</f>
        <v/>
      </c>
      <c r="H386" s="23" t="str">
        <f>IF(A386="","",ROUND(C386-F386-G386,2))</f>
        <v/>
      </c>
      <c r="I386" s="20" t="str">
        <f>IF(A386="","",ROUNDUP(A386/12,0))</f>
        <v/>
      </c>
    </row>
    <row r="387" spans="1:9" x14ac:dyDescent="0.25">
      <c r="A387" s="20" t="str">
        <f>IF(H386="","",IF(H386&gt;0.005,A386+1,""))</f>
        <v/>
      </c>
      <c r="B387" s="21" t="str">
        <f>IF(A387="","",EDATE('Calculator'!$B$7,A387-1))</f>
        <v/>
      </c>
      <c r="C387" s="22" t="str">
        <f>IF(A387="","",H386)</f>
        <v/>
      </c>
      <c r="D387" s="22" t="str">
        <f>IF(A387="","",MIN('Calculator'!$B$10,C387+E387))</f>
        <v/>
      </c>
      <c r="E387" s="22" t="str">
        <f>IF(A387="","",ROUND(C387*'Calculator'!$B$5/12,2))</f>
        <v/>
      </c>
      <c r="F387" s="22" t="str">
        <f>IF(A387="","",D387-E387)</f>
        <v/>
      </c>
      <c r="G387" s="22" t="str">
        <f>IF(A387="","",MAX(0,MIN(N('Calculator'!$B$8),C387-F387)))</f>
        <v/>
      </c>
      <c r="H387" s="23" t="str">
        <f>IF(A387="","",ROUND(C387-F387-G387,2))</f>
        <v/>
      </c>
      <c r="I387" s="20" t="str">
        <f>IF(A387="","",ROUNDUP(A387/12,0))</f>
        <v/>
      </c>
    </row>
    <row r="388" spans="1:9" x14ac:dyDescent="0.25">
      <c r="A388" s="20" t="str">
        <f>IF(H387="","",IF(H387&gt;0.005,A387+1,""))</f>
        <v/>
      </c>
      <c r="B388" s="21" t="str">
        <f>IF(A388="","",EDATE('Calculator'!$B$7,A388-1))</f>
        <v/>
      </c>
      <c r="C388" s="22" t="str">
        <f>IF(A388="","",H387)</f>
        <v/>
      </c>
      <c r="D388" s="22" t="str">
        <f>IF(A388="","",MIN('Calculator'!$B$10,C388+E388))</f>
        <v/>
      </c>
      <c r="E388" s="22" t="str">
        <f>IF(A388="","",ROUND(C388*'Calculator'!$B$5/12,2))</f>
        <v/>
      </c>
      <c r="F388" s="22" t="str">
        <f>IF(A388="","",D388-E388)</f>
        <v/>
      </c>
      <c r="G388" s="22" t="str">
        <f>IF(A388="","",MAX(0,MIN(N('Calculator'!$B$8),C388-F388)))</f>
        <v/>
      </c>
      <c r="H388" s="23" t="str">
        <f>IF(A388="","",ROUND(C388-F388-G388,2))</f>
        <v/>
      </c>
      <c r="I388" s="20" t="str">
        <f>IF(A388="","",ROUNDUP(A388/12,0))</f>
        <v/>
      </c>
    </row>
    <row r="389" spans="1:9" x14ac:dyDescent="0.25">
      <c r="A389" s="20" t="str">
        <f>IF(H388="","",IF(H388&gt;0.005,A388+1,""))</f>
        <v/>
      </c>
      <c r="B389" s="21" t="str">
        <f>IF(A389="","",EDATE('Calculator'!$B$7,A389-1))</f>
        <v/>
      </c>
      <c r="C389" s="22" t="str">
        <f>IF(A389="","",H388)</f>
        <v/>
      </c>
      <c r="D389" s="22" t="str">
        <f>IF(A389="","",MIN('Calculator'!$B$10,C389+E389))</f>
        <v/>
      </c>
      <c r="E389" s="22" t="str">
        <f>IF(A389="","",ROUND(C389*'Calculator'!$B$5/12,2))</f>
        <v/>
      </c>
      <c r="F389" s="22" t="str">
        <f>IF(A389="","",D389-E389)</f>
        <v/>
      </c>
      <c r="G389" s="22" t="str">
        <f>IF(A389="","",MAX(0,MIN(N('Calculator'!$B$8),C389-F389)))</f>
        <v/>
      </c>
      <c r="H389" s="23" t="str">
        <f>IF(A389="","",ROUND(C389-F389-G389,2))</f>
        <v/>
      </c>
      <c r="I389" s="20" t="str">
        <f>IF(A389="","",ROUNDUP(A389/12,0))</f>
        <v/>
      </c>
    </row>
    <row r="390" spans="1:9" x14ac:dyDescent="0.25">
      <c r="A390" s="20" t="str">
        <f>IF(H389="","",IF(H389&gt;0.005,A389+1,""))</f>
        <v/>
      </c>
      <c r="B390" s="21" t="str">
        <f>IF(A390="","",EDATE('Calculator'!$B$7,A390-1))</f>
        <v/>
      </c>
      <c r="C390" s="22" t="str">
        <f>IF(A390="","",H389)</f>
        <v/>
      </c>
      <c r="D390" s="22" t="str">
        <f>IF(A390="","",MIN('Calculator'!$B$10,C390+E390))</f>
        <v/>
      </c>
      <c r="E390" s="22" t="str">
        <f>IF(A390="","",ROUND(C390*'Calculator'!$B$5/12,2))</f>
        <v/>
      </c>
      <c r="F390" s="22" t="str">
        <f>IF(A390="","",D390-E390)</f>
        <v/>
      </c>
      <c r="G390" s="22" t="str">
        <f>IF(A390="","",MAX(0,MIN(N('Calculator'!$B$8),C390-F390)))</f>
        <v/>
      </c>
      <c r="H390" s="23" t="str">
        <f>IF(A390="","",ROUND(C390-F390-G390,2))</f>
        <v/>
      </c>
      <c r="I390" s="20" t="str">
        <f>IF(A390="","",ROUNDUP(A390/12,0))</f>
        <v/>
      </c>
    </row>
    <row r="391" spans="1:9" x14ac:dyDescent="0.25">
      <c r="A391" s="20" t="str">
        <f>IF(H390="","",IF(H390&gt;0.005,A390+1,""))</f>
        <v/>
      </c>
      <c r="B391" s="21" t="str">
        <f>IF(A391="","",EDATE('Calculator'!$B$7,A391-1))</f>
        <v/>
      </c>
      <c r="C391" s="22" t="str">
        <f>IF(A391="","",H390)</f>
        <v/>
      </c>
      <c r="D391" s="22" t="str">
        <f>IF(A391="","",MIN('Calculator'!$B$10,C391+E391))</f>
        <v/>
      </c>
      <c r="E391" s="22" t="str">
        <f>IF(A391="","",ROUND(C391*'Calculator'!$B$5/12,2))</f>
        <v/>
      </c>
      <c r="F391" s="22" t="str">
        <f>IF(A391="","",D391-E391)</f>
        <v/>
      </c>
      <c r="G391" s="22" t="str">
        <f>IF(A391="","",MAX(0,MIN(N('Calculator'!$B$8),C391-F391)))</f>
        <v/>
      </c>
      <c r="H391" s="23" t="str">
        <f>IF(A391="","",ROUND(C391-F391-G391,2))</f>
        <v/>
      </c>
      <c r="I391" s="20" t="str">
        <f>IF(A391="","",ROUNDUP(A391/12,0))</f>
        <v/>
      </c>
    </row>
    <row r="392" spans="1:9" x14ac:dyDescent="0.25">
      <c r="A392" s="20" t="str">
        <f>IF(H391="","",IF(H391&gt;0.005,A391+1,""))</f>
        <v/>
      </c>
      <c r="B392" s="21" t="str">
        <f>IF(A392="","",EDATE('Calculator'!$B$7,A392-1))</f>
        <v/>
      </c>
      <c r="C392" s="22" t="str">
        <f>IF(A392="","",H391)</f>
        <v/>
      </c>
      <c r="D392" s="22" t="str">
        <f>IF(A392="","",MIN('Calculator'!$B$10,C392+E392))</f>
        <v/>
      </c>
      <c r="E392" s="22" t="str">
        <f>IF(A392="","",ROUND(C392*'Calculator'!$B$5/12,2))</f>
        <v/>
      </c>
      <c r="F392" s="22" t="str">
        <f>IF(A392="","",D392-E392)</f>
        <v/>
      </c>
      <c r="G392" s="22" t="str">
        <f>IF(A392="","",MAX(0,MIN(N('Calculator'!$B$8),C392-F392)))</f>
        <v/>
      </c>
      <c r="H392" s="23" t="str">
        <f>IF(A392="","",ROUND(C392-F392-G392,2))</f>
        <v/>
      </c>
      <c r="I392" s="20" t="str">
        <f>IF(A392="","",ROUNDUP(A392/12,0))</f>
        <v/>
      </c>
    </row>
    <row r="393" spans="1:9" x14ac:dyDescent="0.25">
      <c r="A393" s="20" t="str">
        <f>IF(H392="","",IF(H392&gt;0.005,A392+1,""))</f>
        <v/>
      </c>
      <c r="B393" s="21" t="str">
        <f>IF(A393="","",EDATE('Calculator'!$B$7,A393-1))</f>
        <v/>
      </c>
      <c r="C393" s="22" t="str">
        <f>IF(A393="","",H392)</f>
        <v/>
      </c>
      <c r="D393" s="22" t="str">
        <f>IF(A393="","",MIN('Calculator'!$B$10,C393+E393))</f>
        <v/>
      </c>
      <c r="E393" s="22" t="str">
        <f>IF(A393="","",ROUND(C393*'Calculator'!$B$5/12,2))</f>
        <v/>
      </c>
      <c r="F393" s="22" t="str">
        <f>IF(A393="","",D393-E393)</f>
        <v/>
      </c>
      <c r="G393" s="22" t="str">
        <f>IF(A393="","",MAX(0,MIN(N('Calculator'!$B$8),C393-F393)))</f>
        <v/>
      </c>
      <c r="H393" s="23" t="str">
        <f>IF(A393="","",ROUND(C393-F393-G393,2))</f>
        <v/>
      </c>
      <c r="I393" s="20" t="str">
        <f>IF(A393="","",ROUNDUP(A393/12,0))</f>
        <v/>
      </c>
    </row>
    <row r="394" spans="1:9" x14ac:dyDescent="0.25">
      <c r="A394" s="20" t="str">
        <f>IF(H393="","",IF(H393&gt;0.005,A393+1,""))</f>
        <v/>
      </c>
      <c r="B394" s="21" t="str">
        <f>IF(A394="","",EDATE('Calculator'!$B$7,A394-1))</f>
        <v/>
      </c>
      <c r="C394" s="22" t="str">
        <f>IF(A394="","",H393)</f>
        <v/>
      </c>
      <c r="D394" s="22" t="str">
        <f>IF(A394="","",MIN('Calculator'!$B$10,C394+E394))</f>
        <v/>
      </c>
      <c r="E394" s="22" t="str">
        <f>IF(A394="","",ROUND(C394*'Calculator'!$B$5/12,2))</f>
        <v/>
      </c>
      <c r="F394" s="22" t="str">
        <f>IF(A394="","",D394-E394)</f>
        <v/>
      </c>
      <c r="G394" s="22" t="str">
        <f>IF(A394="","",MAX(0,MIN(N('Calculator'!$B$8),C394-F394)))</f>
        <v/>
      </c>
      <c r="H394" s="23" t="str">
        <f>IF(A394="","",ROUND(C394-F394-G394,2))</f>
        <v/>
      </c>
      <c r="I394" s="20" t="str">
        <f>IF(A394="","",ROUNDUP(A394/12,0))</f>
        <v/>
      </c>
    </row>
    <row r="395" spans="1:9" x14ac:dyDescent="0.25">
      <c r="A395" s="20" t="str">
        <f>IF(H394="","",IF(H394&gt;0.005,A394+1,""))</f>
        <v/>
      </c>
      <c r="B395" s="21" t="str">
        <f>IF(A395="","",EDATE('Calculator'!$B$7,A395-1))</f>
        <v/>
      </c>
      <c r="C395" s="22" t="str">
        <f>IF(A395="","",H394)</f>
        <v/>
      </c>
      <c r="D395" s="22" t="str">
        <f>IF(A395="","",MIN('Calculator'!$B$10,C395+E395))</f>
        <v/>
      </c>
      <c r="E395" s="22" t="str">
        <f>IF(A395="","",ROUND(C395*'Calculator'!$B$5/12,2))</f>
        <v/>
      </c>
      <c r="F395" s="22" t="str">
        <f>IF(A395="","",D395-E395)</f>
        <v/>
      </c>
      <c r="G395" s="22" t="str">
        <f>IF(A395="","",MAX(0,MIN(N('Calculator'!$B$8),C395-F395)))</f>
        <v/>
      </c>
      <c r="H395" s="23" t="str">
        <f>IF(A395="","",ROUND(C395-F395-G395,2))</f>
        <v/>
      </c>
      <c r="I395" s="20" t="str">
        <f>IF(A395="","",ROUNDUP(A395/12,0))</f>
        <v/>
      </c>
    </row>
    <row r="396" spans="1:9" x14ac:dyDescent="0.25">
      <c r="A396" s="20" t="str">
        <f>IF(H395="","",IF(H395&gt;0.005,A395+1,""))</f>
        <v/>
      </c>
      <c r="B396" s="21" t="str">
        <f>IF(A396="","",EDATE('Calculator'!$B$7,A396-1))</f>
        <v/>
      </c>
      <c r="C396" s="22" t="str">
        <f>IF(A396="","",H395)</f>
        <v/>
      </c>
      <c r="D396" s="22" t="str">
        <f>IF(A396="","",MIN('Calculator'!$B$10,C396+E396))</f>
        <v/>
      </c>
      <c r="E396" s="22" t="str">
        <f>IF(A396="","",ROUND(C396*'Calculator'!$B$5/12,2))</f>
        <v/>
      </c>
      <c r="F396" s="22" t="str">
        <f>IF(A396="","",D396-E396)</f>
        <v/>
      </c>
      <c r="G396" s="22" t="str">
        <f>IF(A396="","",MAX(0,MIN(N('Calculator'!$B$8),C396-F396)))</f>
        <v/>
      </c>
      <c r="H396" s="23" t="str">
        <f>IF(A396="","",ROUND(C396-F396-G396,2))</f>
        <v/>
      </c>
      <c r="I396" s="20" t="str">
        <f>IF(A396="","",ROUNDUP(A396/12,0))</f>
        <v/>
      </c>
    </row>
    <row r="397" spans="1:9" x14ac:dyDescent="0.25">
      <c r="A397" s="20" t="str">
        <f>IF(H396="","",IF(H396&gt;0.005,A396+1,""))</f>
        <v/>
      </c>
      <c r="B397" s="21" t="str">
        <f>IF(A397="","",EDATE('Calculator'!$B$7,A397-1))</f>
        <v/>
      </c>
      <c r="C397" s="22" t="str">
        <f>IF(A397="","",H396)</f>
        <v/>
      </c>
      <c r="D397" s="22" t="str">
        <f>IF(A397="","",MIN('Calculator'!$B$10,C397+E397))</f>
        <v/>
      </c>
      <c r="E397" s="22" t="str">
        <f>IF(A397="","",ROUND(C397*'Calculator'!$B$5/12,2))</f>
        <v/>
      </c>
      <c r="F397" s="22" t="str">
        <f>IF(A397="","",D397-E397)</f>
        <v/>
      </c>
      <c r="G397" s="22" t="str">
        <f>IF(A397="","",MAX(0,MIN(N('Calculator'!$B$8),C397-F397)))</f>
        <v/>
      </c>
      <c r="H397" s="23" t="str">
        <f>IF(A397="","",ROUND(C397-F397-G397,2))</f>
        <v/>
      </c>
      <c r="I397" s="20" t="str">
        <f>IF(A397="","",ROUNDUP(A397/12,0))</f>
        <v/>
      </c>
    </row>
    <row r="398" spans="1:9" x14ac:dyDescent="0.25">
      <c r="A398" s="20" t="str">
        <f>IF(H397="","",IF(H397&gt;0.005,A397+1,""))</f>
        <v/>
      </c>
      <c r="B398" s="21" t="str">
        <f>IF(A398="","",EDATE('Calculator'!$B$7,A398-1))</f>
        <v/>
      </c>
      <c r="C398" s="22" t="str">
        <f>IF(A398="","",H397)</f>
        <v/>
      </c>
      <c r="D398" s="22" t="str">
        <f>IF(A398="","",MIN('Calculator'!$B$10,C398+E398))</f>
        <v/>
      </c>
      <c r="E398" s="22" t="str">
        <f>IF(A398="","",ROUND(C398*'Calculator'!$B$5/12,2))</f>
        <v/>
      </c>
      <c r="F398" s="22" t="str">
        <f>IF(A398="","",D398-E398)</f>
        <v/>
      </c>
      <c r="G398" s="22" t="str">
        <f>IF(A398="","",MAX(0,MIN(N('Calculator'!$B$8),C398-F398)))</f>
        <v/>
      </c>
      <c r="H398" s="23" t="str">
        <f>IF(A398="","",ROUND(C398-F398-G398,2))</f>
        <v/>
      </c>
      <c r="I398" s="20" t="str">
        <f>IF(A398="","",ROUNDUP(A398/12,0))</f>
        <v/>
      </c>
    </row>
    <row r="399" spans="1:9" x14ac:dyDescent="0.25">
      <c r="A399" s="20" t="str">
        <f>IF(H398="","",IF(H398&gt;0.005,A398+1,""))</f>
        <v/>
      </c>
      <c r="B399" s="21" t="str">
        <f>IF(A399="","",EDATE('Calculator'!$B$7,A399-1))</f>
        <v/>
      </c>
      <c r="C399" s="22" t="str">
        <f>IF(A399="","",H398)</f>
        <v/>
      </c>
      <c r="D399" s="22" t="str">
        <f>IF(A399="","",MIN('Calculator'!$B$10,C399+E399))</f>
        <v/>
      </c>
      <c r="E399" s="22" t="str">
        <f>IF(A399="","",ROUND(C399*'Calculator'!$B$5/12,2))</f>
        <v/>
      </c>
      <c r="F399" s="22" t="str">
        <f>IF(A399="","",D399-E399)</f>
        <v/>
      </c>
      <c r="G399" s="22" t="str">
        <f>IF(A399="","",MAX(0,MIN(N('Calculator'!$B$8),C399-F399)))</f>
        <v/>
      </c>
      <c r="H399" s="23" t="str">
        <f>IF(A399="","",ROUND(C399-F399-G399,2))</f>
        <v/>
      </c>
      <c r="I399" s="20" t="str">
        <f>IF(A399="","",ROUNDUP(A399/12,0))</f>
        <v/>
      </c>
    </row>
    <row r="400" spans="1:9" x14ac:dyDescent="0.25">
      <c r="A400" s="20" t="str">
        <f>IF(H399="","",IF(H399&gt;0.005,A399+1,""))</f>
        <v/>
      </c>
      <c r="B400" s="21" t="str">
        <f>IF(A400="","",EDATE('Calculator'!$B$7,A400-1))</f>
        <v/>
      </c>
      <c r="C400" s="22" t="str">
        <f>IF(A400="","",H399)</f>
        <v/>
      </c>
      <c r="D400" s="22" t="str">
        <f>IF(A400="","",MIN('Calculator'!$B$10,C400+E400))</f>
        <v/>
      </c>
      <c r="E400" s="22" t="str">
        <f>IF(A400="","",ROUND(C400*'Calculator'!$B$5/12,2))</f>
        <v/>
      </c>
      <c r="F400" s="22" t="str">
        <f>IF(A400="","",D400-E400)</f>
        <v/>
      </c>
      <c r="G400" s="22" t="str">
        <f>IF(A400="","",MAX(0,MIN(N('Calculator'!$B$8),C400-F400)))</f>
        <v/>
      </c>
      <c r="H400" s="23" t="str">
        <f>IF(A400="","",ROUND(C400-F400-G400,2))</f>
        <v/>
      </c>
      <c r="I400" s="20" t="str">
        <f>IF(A400="","",ROUNDUP(A400/12,0))</f>
        <v/>
      </c>
    </row>
    <row r="401" spans="1:9" x14ac:dyDescent="0.25">
      <c r="A401" s="20" t="str">
        <f>IF(H400="","",IF(H400&gt;0.005,A400+1,""))</f>
        <v/>
      </c>
      <c r="B401" s="21" t="str">
        <f>IF(A401="","",EDATE('Calculator'!$B$7,A401-1))</f>
        <v/>
      </c>
      <c r="C401" s="22" t="str">
        <f>IF(A401="","",H400)</f>
        <v/>
      </c>
      <c r="D401" s="22" t="str">
        <f>IF(A401="","",MIN('Calculator'!$B$10,C401+E401))</f>
        <v/>
      </c>
      <c r="E401" s="22" t="str">
        <f>IF(A401="","",ROUND(C401*'Calculator'!$B$5/12,2))</f>
        <v/>
      </c>
      <c r="F401" s="22" t="str">
        <f>IF(A401="","",D401-E401)</f>
        <v/>
      </c>
      <c r="G401" s="22" t="str">
        <f>IF(A401="","",MAX(0,MIN(N('Calculator'!$B$8),C401-F401)))</f>
        <v/>
      </c>
      <c r="H401" s="23" t="str">
        <f>IF(A401="","",ROUND(C401-F401-G401,2))</f>
        <v/>
      </c>
      <c r="I401" s="20" t="str">
        <f>IF(A401="","",ROUNDUP(A401/12,0))</f>
        <v/>
      </c>
    </row>
    <row r="402" spans="1:9" x14ac:dyDescent="0.25">
      <c r="A402" s="20" t="str">
        <f>IF(H401="","",IF(H401&gt;0.005,A401+1,""))</f>
        <v/>
      </c>
      <c r="B402" s="21" t="str">
        <f>IF(A402="","",EDATE('Calculator'!$B$7,A402-1))</f>
        <v/>
      </c>
      <c r="C402" s="22" t="str">
        <f>IF(A402="","",H401)</f>
        <v/>
      </c>
      <c r="D402" s="22" t="str">
        <f>IF(A402="","",MIN('Calculator'!$B$10,C402+E402))</f>
        <v/>
      </c>
      <c r="E402" s="22" t="str">
        <f>IF(A402="","",ROUND(C402*'Calculator'!$B$5/12,2))</f>
        <v/>
      </c>
      <c r="F402" s="22" t="str">
        <f>IF(A402="","",D402-E402)</f>
        <v/>
      </c>
      <c r="G402" s="22" t="str">
        <f>IF(A402="","",MAX(0,MIN(N('Calculator'!$B$8),C402-F402)))</f>
        <v/>
      </c>
      <c r="H402" s="23" t="str">
        <f>IF(A402="","",ROUND(C402-F402-G402,2))</f>
        <v/>
      </c>
      <c r="I402" s="20" t="str">
        <f>IF(A402="","",ROUNDUP(A402/12,0))</f>
        <v/>
      </c>
    </row>
    <row r="403" spans="1:9" x14ac:dyDescent="0.25">
      <c r="A403" s="20" t="str">
        <f>IF(H402="","",IF(H402&gt;0.005,A402+1,""))</f>
        <v/>
      </c>
      <c r="B403" s="21" t="str">
        <f>IF(A403="","",EDATE('Calculator'!$B$7,A403-1))</f>
        <v/>
      </c>
      <c r="C403" s="22" t="str">
        <f>IF(A403="","",H402)</f>
        <v/>
      </c>
      <c r="D403" s="22" t="str">
        <f>IF(A403="","",MIN('Calculator'!$B$10,C403+E403))</f>
        <v/>
      </c>
      <c r="E403" s="22" t="str">
        <f>IF(A403="","",ROUND(C403*'Calculator'!$B$5/12,2))</f>
        <v/>
      </c>
      <c r="F403" s="22" t="str">
        <f>IF(A403="","",D403-E403)</f>
        <v/>
      </c>
      <c r="G403" s="22" t="str">
        <f>IF(A403="","",MAX(0,MIN(N('Calculator'!$B$8),C403-F403)))</f>
        <v/>
      </c>
      <c r="H403" s="23" t="str">
        <f>IF(A403="","",ROUND(C403-F403-G403,2))</f>
        <v/>
      </c>
      <c r="I403" s="20" t="str">
        <f>IF(A403="","",ROUNDUP(A403/12,0))</f>
        <v/>
      </c>
    </row>
    <row r="404" spans="1:9" x14ac:dyDescent="0.25">
      <c r="A404" s="20" t="str">
        <f>IF(H403="","",IF(H403&gt;0.005,A403+1,""))</f>
        <v/>
      </c>
      <c r="B404" s="21" t="str">
        <f>IF(A404="","",EDATE('Calculator'!$B$7,A404-1))</f>
        <v/>
      </c>
      <c r="C404" s="22" t="str">
        <f>IF(A404="","",H403)</f>
        <v/>
      </c>
      <c r="D404" s="22" t="str">
        <f>IF(A404="","",MIN('Calculator'!$B$10,C404+E404))</f>
        <v/>
      </c>
      <c r="E404" s="22" t="str">
        <f>IF(A404="","",ROUND(C404*'Calculator'!$B$5/12,2))</f>
        <v/>
      </c>
      <c r="F404" s="22" t="str">
        <f>IF(A404="","",D404-E404)</f>
        <v/>
      </c>
      <c r="G404" s="22" t="str">
        <f>IF(A404="","",MAX(0,MIN(N('Calculator'!$B$8),C404-F404)))</f>
        <v/>
      </c>
      <c r="H404" s="23" t="str">
        <f>IF(A404="","",ROUND(C404-F404-G404,2))</f>
        <v/>
      </c>
      <c r="I404" s="20" t="str">
        <f>IF(A404="","",ROUNDUP(A404/12,0))</f>
        <v/>
      </c>
    </row>
    <row r="405" spans="1:9" x14ac:dyDescent="0.25">
      <c r="A405" s="20" t="str">
        <f>IF(H404="","",IF(H404&gt;0.005,A404+1,""))</f>
        <v/>
      </c>
      <c r="B405" s="21" t="str">
        <f>IF(A405="","",EDATE('Calculator'!$B$7,A405-1))</f>
        <v/>
      </c>
      <c r="C405" s="22" t="str">
        <f>IF(A405="","",H404)</f>
        <v/>
      </c>
      <c r="D405" s="22" t="str">
        <f>IF(A405="","",MIN('Calculator'!$B$10,C405+E405))</f>
        <v/>
      </c>
      <c r="E405" s="22" t="str">
        <f>IF(A405="","",ROUND(C405*'Calculator'!$B$5/12,2))</f>
        <v/>
      </c>
      <c r="F405" s="22" t="str">
        <f>IF(A405="","",D405-E405)</f>
        <v/>
      </c>
      <c r="G405" s="22" t="str">
        <f>IF(A405="","",MAX(0,MIN(N('Calculator'!$B$8),C405-F405)))</f>
        <v/>
      </c>
      <c r="H405" s="23" t="str">
        <f>IF(A405="","",ROUND(C405-F405-G405,2))</f>
        <v/>
      </c>
      <c r="I405" s="20" t="str">
        <f>IF(A405="","",ROUNDUP(A405/12,0))</f>
        <v/>
      </c>
    </row>
    <row r="406" spans="1:9" x14ac:dyDescent="0.25">
      <c r="A406" s="20" t="str">
        <f>IF(H405="","",IF(H405&gt;0.005,A405+1,""))</f>
        <v/>
      </c>
      <c r="B406" s="21" t="str">
        <f>IF(A406="","",EDATE('Calculator'!$B$7,A406-1))</f>
        <v/>
      </c>
      <c r="C406" s="22" t="str">
        <f>IF(A406="","",H405)</f>
        <v/>
      </c>
      <c r="D406" s="22" t="str">
        <f>IF(A406="","",MIN('Calculator'!$B$10,C406+E406))</f>
        <v/>
      </c>
      <c r="E406" s="22" t="str">
        <f>IF(A406="","",ROUND(C406*'Calculator'!$B$5/12,2))</f>
        <v/>
      </c>
      <c r="F406" s="22" t="str">
        <f>IF(A406="","",D406-E406)</f>
        <v/>
      </c>
      <c r="G406" s="22" t="str">
        <f>IF(A406="","",MAX(0,MIN(N('Calculator'!$B$8),C406-F406)))</f>
        <v/>
      </c>
      <c r="H406" s="23" t="str">
        <f>IF(A406="","",ROUND(C406-F406-G406,2))</f>
        <v/>
      </c>
      <c r="I406" s="20" t="str">
        <f>IF(A406="","",ROUNDUP(A406/12,0))</f>
        <v/>
      </c>
    </row>
    <row r="407" spans="1:9" x14ac:dyDescent="0.25">
      <c r="A407" s="20" t="str">
        <f>IF(H406="","",IF(H406&gt;0.005,A406+1,""))</f>
        <v/>
      </c>
      <c r="B407" s="21" t="str">
        <f>IF(A407="","",EDATE('Calculator'!$B$7,A407-1))</f>
        <v/>
      </c>
      <c r="C407" s="22" t="str">
        <f>IF(A407="","",H406)</f>
        <v/>
      </c>
      <c r="D407" s="22" t="str">
        <f>IF(A407="","",MIN('Calculator'!$B$10,C407+E407))</f>
        <v/>
      </c>
      <c r="E407" s="22" t="str">
        <f>IF(A407="","",ROUND(C407*'Calculator'!$B$5/12,2))</f>
        <v/>
      </c>
      <c r="F407" s="22" t="str">
        <f>IF(A407="","",D407-E407)</f>
        <v/>
      </c>
      <c r="G407" s="22" t="str">
        <f>IF(A407="","",MAX(0,MIN(N('Calculator'!$B$8),C407-F407)))</f>
        <v/>
      </c>
      <c r="H407" s="23" t="str">
        <f>IF(A407="","",ROUND(C407-F407-G407,2))</f>
        <v/>
      </c>
      <c r="I407" s="20" t="str">
        <f>IF(A407="","",ROUNDUP(A407/12,0))</f>
        <v/>
      </c>
    </row>
    <row r="408" spans="1:9" x14ac:dyDescent="0.25">
      <c r="A408" s="20" t="str">
        <f>IF(H407="","",IF(H407&gt;0.005,A407+1,""))</f>
        <v/>
      </c>
      <c r="B408" s="21" t="str">
        <f>IF(A408="","",EDATE('Calculator'!$B$7,A408-1))</f>
        <v/>
      </c>
      <c r="C408" s="22" t="str">
        <f>IF(A408="","",H407)</f>
        <v/>
      </c>
      <c r="D408" s="22" t="str">
        <f>IF(A408="","",MIN('Calculator'!$B$10,C408+E408))</f>
        <v/>
      </c>
      <c r="E408" s="22" t="str">
        <f>IF(A408="","",ROUND(C408*'Calculator'!$B$5/12,2))</f>
        <v/>
      </c>
      <c r="F408" s="22" t="str">
        <f>IF(A408="","",D408-E408)</f>
        <v/>
      </c>
      <c r="G408" s="22" t="str">
        <f>IF(A408="","",MAX(0,MIN(N('Calculator'!$B$8),C408-F408)))</f>
        <v/>
      </c>
      <c r="H408" s="23" t="str">
        <f>IF(A408="","",ROUND(C408-F408-G408,2))</f>
        <v/>
      </c>
      <c r="I408" s="20" t="str">
        <f>IF(A408="","",ROUNDUP(A408/12,0))</f>
        <v/>
      </c>
    </row>
    <row r="409" spans="1:9" x14ac:dyDescent="0.25">
      <c r="A409" s="20" t="str">
        <f>IF(H408="","",IF(H408&gt;0.005,A408+1,""))</f>
        <v/>
      </c>
      <c r="B409" s="21" t="str">
        <f>IF(A409="","",EDATE('Calculator'!$B$7,A409-1))</f>
        <v/>
      </c>
      <c r="C409" s="22" t="str">
        <f>IF(A409="","",H408)</f>
        <v/>
      </c>
      <c r="D409" s="22" t="str">
        <f>IF(A409="","",MIN('Calculator'!$B$10,C409+E409))</f>
        <v/>
      </c>
      <c r="E409" s="22" t="str">
        <f>IF(A409="","",ROUND(C409*'Calculator'!$B$5/12,2))</f>
        <v/>
      </c>
      <c r="F409" s="22" t="str">
        <f>IF(A409="","",D409-E409)</f>
        <v/>
      </c>
      <c r="G409" s="22" t="str">
        <f>IF(A409="","",MAX(0,MIN(N('Calculator'!$B$8),C409-F409)))</f>
        <v/>
      </c>
      <c r="H409" s="23" t="str">
        <f>IF(A409="","",ROUND(C409-F409-G409,2))</f>
        <v/>
      </c>
      <c r="I409" s="20" t="str">
        <f>IF(A409="","",ROUNDUP(A409/12,0))</f>
        <v/>
      </c>
    </row>
    <row r="410" spans="1:9" x14ac:dyDescent="0.25">
      <c r="A410" s="20" t="str">
        <f>IF(H409="","",IF(H409&gt;0.005,A409+1,""))</f>
        <v/>
      </c>
      <c r="B410" s="21" t="str">
        <f>IF(A410="","",EDATE('Calculator'!$B$7,A410-1))</f>
        <v/>
      </c>
      <c r="C410" s="22" t="str">
        <f>IF(A410="","",H409)</f>
        <v/>
      </c>
      <c r="D410" s="22" t="str">
        <f>IF(A410="","",MIN('Calculator'!$B$10,C410+E410))</f>
        <v/>
      </c>
      <c r="E410" s="22" t="str">
        <f>IF(A410="","",ROUND(C410*'Calculator'!$B$5/12,2))</f>
        <v/>
      </c>
      <c r="F410" s="22" t="str">
        <f>IF(A410="","",D410-E410)</f>
        <v/>
      </c>
      <c r="G410" s="22" t="str">
        <f>IF(A410="","",MAX(0,MIN(N('Calculator'!$B$8),C410-F410)))</f>
        <v/>
      </c>
      <c r="H410" s="23" t="str">
        <f>IF(A410="","",ROUND(C410-F410-G410,2))</f>
        <v/>
      </c>
      <c r="I410" s="20" t="str">
        <f>IF(A410="","",ROUNDUP(A410/12,0))</f>
        <v/>
      </c>
    </row>
    <row r="411" spans="1:9" x14ac:dyDescent="0.25">
      <c r="A411" s="20" t="str">
        <f>IF(H410="","",IF(H410&gt;0.005,A410+1,""))</f>
        <v/>
      </c>
      <c r="B411" s="21" t="str">
        <f>IF(A411="","",EDATE('Calculator'!$B$7,A411-1))</f>
        <v/>
      </c>
      <c r="C411" s="22" t="str">
        <f>IF(A411="","",H410)</f>
        <v/>
      </c>
      <c r="D411" s="22" t="str">
        <f>IF(A411="","",MIN('Calculator'!$B$10,C411+E411))</f>
        <v/>
      </c>
      <c r="E411" s="22" t="str">
        <f>IF(A411="","",ROUND(C411*'Calculator'!$B$5/12,2))</f>
        <v/>
      </c>
      <c r="F411" s="22" t="str">
        <f>IF(A411="","",D411-E411)</f>
        <v/>
      </c>
      <c r="G411" s="22" t="str">
        <f>IF(A411="","",MAX(0,MIN(N('Calculator'!$B$8),C411-F411)))</f>
        <v/>
      </c>
      <c r="H411" s="23" t="str">
        <f>IF(A411="","",ROUND(C411-F411-G411,2))</f>
        <v/>
      </c>
      <c r="I411" s="20" t="str">
        <f>IF(A411="","",ROUNDUP(A411/12,0))</f>
        <v/>
      </c>
    </row>
    <row r="412" spans="1:9" x14ac:dyDescent="0.25">
      <c r="A412" s="20" t="str">
        <f>IF(H411="","",IF(H411&gt;0.005,A411+1,""))</f>
        <v/>
      </c>
      <c r="B412" s="21" t="str">
        <f>IF(A412="","",EDATE('Calculator'!$B$7,A412-1))</f>
        <v/>
      </c>
      <c r="C412" s="22" t="str">
        <f>IF(A412="","",H411)</f>
        <v/>
      </c>
      <c r="D412" s="22" t="str">
        <f>IF(A412="","",MIN('Calculator'!$B$10,C412+E412))</f>
        <v/>
      </c>
      <c r="E412" s="22" t="str">
        <f>IF(A412="","",ROUND(C412*'Calculator'!$B$5/12,2))</f>
        <v/>
      </c>
      <c r="F412" s="22" t="str">
        <f>IF(A412="","",D412-E412)</f>
        <v/>
      </c>
      <c r="G412" s="22" t="str">
        <f>IF(A412="","",MAX(0,MIN(N('Calculator'!$B$8),C412-F412)))</f>
        <v/>
      </c>
      <c r="H412" s="23" t="str">
        <f>IF(A412="","",ROUND(C412-F412-G412,2))</f>
        <v/>
      </c>
      <c r="I412" s="20" t="str">
        <f>IF(A412="","",ROUNDUP(A412/12,0))</f>
        <v/>
      </c>
    </row>
    <row r="413" spans="1:9" x14ac:dyDescent="0.25">
      <c r="A413" s="20" t="str">
        <f>IF(H412="","",IF(H412&gt;0.005,A412+1,""))</f>
        <v/>
      </c>
      <c r="B413" s="21" t="str">
        <f>IF(A413="","",EDATE('Calculator'!$B$7,A413-1))</f>
        <v/>
      </c>
      <c r="C413" s="22" t="str">
        <f>IF(A413="","",H412)</f>
        <v/>
      </c>
      <c r="D413" s="22" t="str">
        <f>IF(A413="","",MIN('Calculator'!$B$10,C413+E413))</f>
        <v/>
      </c>
      <c r="E413" s="22" t="str">
        <f>IF(A413="","",ROUND(C413*'Calculator'!$B$5/12,2))</f>
        <v/>
      </c>
      <c r="F413" s="22" t="str">
        <f>IF(A413="","",D413-E413)</f>
        <v/>
      </c>
      <c r="G413" s="22" t="str">
        <f>IF(A413="","",MAX(0,MIN(N('Calculator'!$B$8),C413-F413)))</f>
        <v/>
      </c>
      <c r="H413" s="23" t="str">
        <f>IF(A413="","",ROUND(C413-F413-G413,2))</f>
        <v/>
      </c>
      <c r="I413" s="20" t="str">
        <f>IF(A413="","",ROUNDUP(A413/12,0))</f>
        <v/>
      </c>
    </row>
    <row r="414" spans="1:9" x14ac:dyDescent="0.25">
      <c r="A414" s="20" t="str">
        <f>IF(H413="","",IF(H413&gt;0.005,A413+1,""))</f>
        <v/>
      </c>
      <c r="B414" s="21" t="str">
        <f>IF(A414="","",EDATE('Calculator'!$B$7,A414-1))</f>
        <v/>
      </c>
      <c r="C414" s="22" t="str">
        <f>IF(A414="","",H413)</f>
        <v/>
      </c>
      <c r="D414" s="22" t="str">
        <f>IF(A414="","",MIN('Calculator'!$B$10,C414+E414))</f>
        <v/>
      </c>
      <c r="E414" s="22" t="str">
        <f>IF(A414="","",ROUND(C414*'Calculator'!$B$5/12,2))</f>
        <v/>
      </c>
      <c r="F414" s="22" t="str">
        <f>IF(A414="","",D414-E414)</f>
        <v/>
      </c>
      <c r="G414" s="22" t="str">
        <f>IF(A414="","",MAX(0,MIN(N('Calculator'!$B$8),C414-F414)))</f>
        <v/>
      </c>
      <c r="H414" s="23" t="str">
        <f>IF(A414="","",ROUND(C414-F414-G414,2))</f>
        <v/>
      </c>
      <c r="I414" s="20" t="str">
        <f>IF(A414="","",ROUNDUP(A414/12,0))</f>
        <v/>
      </c>
    </row>
    <row r="415" spans="1:9" x14ac:dyDescent="0.25">
      <c r="A415" s="20" t="str">
        <f>IF(H414="","",IF(H414&gt;0.005,A414+1,""))</f>
        <v/>
      </c>
      <c r="B415" s="21" t="str">
        <f>IF(A415="","",EDATE('Calculator'!$B$7,A415-1))</f>
        <v/>
      </c>
      <c r="C415" s="22" t="str">
        <f>IF(A415="","",H414)</f>
        <v/>
      </c>
      <c r="D415" s="22" t="str">
        <f>IF(A415="","",MIN('Calculator'!$B$10,C415+E415))</f>
        <v/>
      </c>
      <c r="E415" s="22" t="str">
        <f>IF(A415="","",ROUND(C415*'Calculator'!$B$5/12,2))</f>
        <v/>
      </c>
      <c r="F415" s="22" t="str">
        <f>IF(A415="","",D415-E415)</f>
        <v/>
      </c>
      <c r="G415" s="22" t="str">
        <f>IF(A415="","",MAX(0,MIN(N('Calculator'!$B$8),C415-F415)))</f>
        <v/>
      </c>
      <c r="H415" s="23" t="str">
        <f>IF(A415="","",ROUND(C415-F415-G415,2))</f>
        <v/>
      </c>
      <c r="I415" s="20" t="str">
        <f>IF(A415="","",ROUNDUP(A415/12,0))</f>
        <v/>
      </c>
    </row>
    <row r="416" spans="1:9" x14ac:dyDescent="0.25">
      <c r="A416" s="20" t="str">
        <f>IF(H415="","",IF(H415&gt;0.005,A415+1,""))</f>
        <v/>
      </c>
      <c r="B416" s="21" t="str">
        <f>IF(A416="","",EDATE('Calculator'!$B$7,A416-1))</f>
        <v/>
      </c>
      <c r="C416" s="22" t="str">
        <f>IF(A416="","",H415)</f>
        <v/>
      </c>
      <c r="D416" s="22" t="str">
        <f>IF(A416="","",MIN('Calculator'!$B$10,C416+E416))</f>
        <v/>
      </c>
      <c r="E416" s="22" t="str">
        <f>IF(A416="","",ROUND(C416*'Calculator'!$B$5/12,2))</f>
        <v/>
      </c>
      <c r="F416" s="22" t="str">
        <f>IF(A416="","",D416-E416)</f>
        <v/>
      </c>
      <c r="G416" s="22" t="str">
        <f>IF(A416="","",MAX(0,MIN(N('Calculator'!$B$8),C416-F416)))</f>
        <v/>
      </c>
      <c r="H416" s="23" t="str">
        <f>IF(A416="","",ROUND(C416-F416-G416,2))</f>
        <v/>
      </c>
      <c r="I416" s="20" t="str">
        <f>IF(A416="","",ROUNDUP(A416/12,0))</f>
        <v/>
      </c>
    </row>
    <row r="417" spans="1:9" x14ac:dyDescent="0.25">
      <c r="A417" s="20" t="str">
        <f>IF(H416="","",IF(H416&gt;0.005,A416+1,""))</f>
        <v/>
      </c>
      <c r="B417" s="21" t="str">
        <f>IF(A417="","",EDATE('Calculator'!$B$7,A417-1))</f>
        <v/>
      </c>
      <c r="C417" s="22" t="str">
        <f>IF(A417="","",H416)</f>
        <v/>
      </c>
      <c r="D417" s="22" t="str">
        <f>IF(A417="","",MIN('Calculator'!$B$10,C417+E417))</f>
        <v/>
      </c>
      <c r="E417" s="22" t="str">
        <f>IF(A417="","",ROUND(C417*'Calculator'!$B$5/12,2))</f>
        <v/>
      </c>
      <c r="F417" s="22" t="str">
        <f>IF(A417="","",D417-E417)</f>
        <v/>
      </c>
      <c r="G417" s="22" t="str">
        <f>IF(A417="","",MAX(0,MIN(N('Calculator'!$B$8),C417-F417)))</f>
        <v/>
      </c>
      <c r="H417" s="23" t="str">
        <f>IF(A417="","",ROUND(C417-F417-G417,2))</f>
        <v/>
      </c>
      <c r="I417" s="20" t="str">
        <f>IF(A417="","",ROUNDUP(A417/12,0))</f>
        <v/>
      </c>
    </row>
    <row r="418" spans="1:9" x14ac:dyDescent="0.25">
      <c r="A418" s="20" t="str">
        <f>IF(H417="","",IF(H417&gt;0.005,A417+1,""))</f>
        <v/>
      </c>
      <c r="B418" s="21" t="str">
        <f>IF(A418="","",EDATE('Calculator'!$B$7,A418-1))</f>
        <v/>
      </c>
      <c r="C418" s="22" t="str">
        <f>IF(A418="","",H417)</f>
        <v/>
      </c>
      <c r="D418" s="22" t="str">
        <f>IF(A418="","",MIN('Calculator'!$B$10,C418+E418))</f>
        <v/>
      </c>
      <c r="E418" s="22" t="str">
        <f>IF(A418="","",ROUND(C418*'Calculator'!$B$5/12,2))</f>
        <v/>
      </c>
      <c r="F418" s="22" t="str">
        <f>IF(A418="","",D418-E418)</f>
        <v/>
      </c>
      <c r="G418" s="22" t="str">
        <f>IF(A418="","",MAX(0,MIN(N('Calculator'!$B$8),C418-F418)))</f>
        <v/>
      </c>
      <c r="H418" s="23" t="str">
        <f>IF(A418="","",ROUND(C418-F418-G418,2))</f>
        <v/>
      </c>
      <c r="I418" s="20" t="str">
        <f>IF(A418="","",ROUNDUP(A418/12,0))</f>
        <v/>
      </c>
    </row>
    <row r="419" spans="1:9" x14ac:dyDescent="0.25">
      <c r="A419" s="20" t="str">
        <f>IF(H418="","",IF(H418&gt;0.005,A418+1,""))</f>
        <v/>
      </c>
      <c r="B419" s="21" t="str">
        <f>IF(A419="","",EDATE('Calculator'!$B$7,A419-1))</f>
        <v/>
      </c>
      <c r="C419" s="22" t="str">
        <f>IF(A419="","",H418)</f>
        <v/>
      </c>
      <c r="D419" s="22" t="str">
        <f>IF(A419="","",MIN('Calculator'!$B$10,C419+E419))</f>
        <v/>
      </c>
      <c r="E419" s="22" t="str">
        <f>IF(A419="","",ROUND(C419*'Calculator'!$B$5/12,2))</f>
        <v/>
      </c>
      <c r="F419" s="22" t="str">
        <f>IF(A419="","",D419-E419)</f>
        <v/>
      </c>
      <c r="G419" s="22" t="str">
        <f>IF(A419="","",MAX(0,MIN(N('Calculator'!$B$8),C419-F419)))</f>
        <v/>
      </c>
      <c r="H419" s="23" t="str">
        <f>IF(A419="","",ROUND(C419-F419-G419,2))</f>
        <v/>
      </c>
      <c r="I419" s="20" t="str">
        <f>IF(A419="","",ROUNDUP(A419/12,0))</f>
        <v/>
      </c>
    </row>
    <row r="420" spans="1:9" x14ac:dyDescent="0.25">
      <c r="A420" s="20" t="str">
        <f>IF(H419="","",IF(H419&gt;0.005,A419+1,""))</f>
        <v/>
      </c>
      <c r="B420" s="21" t="str">
        <f>IF(A420="","",EDATE('Calculator'!$B$7,A420-1))</f>
        <v/>
      </c>
      <c r="C420" s="22" t="str">
        <f>IF(A420="","",H419)</f>
        <v/>
      </c>
      <c r="D420" s="22" t="str">
        <f>IF(A420="","",MIN('Calculator'!$B$10,C420+E420))</f>
        <v/>
      </c>
      <c r="E420" s="22" t="str">
        <f>IF(A420="","",ROUND(C420*'Calculator'!$B$5/12,2))</f>
        <v/>
      </c>
      <c r="F420" s="22" t="str">
        <f>IF(A420="","",D420-E420)</f>
        <v/>
      </c>
      <c r="G420" s="22" t="str">
        <f>IF(A420="","",MAX(0,MIN(N('Calculator'!$B$8),C420-F420)))</f>
        <v/>
      </c>
      <c r="H420" s="23" t="str">
        <f>IF(A420="","",ROUND(C420-F420-G420,2))</f>
        <v/>
      </c>
      <c r="I420" s="20" t="str">
        <f>IF(A420="","",ROUNDUP(A420/12,0))</f>
        <v/>
      </c>
    </row>
    <row r="421" spans="1:9" x14ac:dyDescent="0.25">
      <c r="A421" s="20" t="str">
        <f>IF(H420="","",IF(H420&gt;0.005,A420+1,""))</f>
        <v/>
      </c>
      <c r="B421" s="21" t="str">
        <f>IF(A421="","",EDATE('Calculator'!$B$7,A421-1))</f>
        <v/>
      </c>
      <c r="C421" s="22" t="str">
        <f>IF(A421="","",H420)</f>
        <v/>
      </c>
      <c r="D421" s="22" t="str">
        <f>IF(A421="","",MIN('Calculator'!$B$10,C421+E421))</f>
        <v/>
      </c>
      <c r="E421" s="22" t="str">
        <f>IF(A421="","",ROUND(C421*'Calculator'!$B$5/12,2))</f>
        <v/>
      </c>
      <c r="F421" s="22" t="str">
        <f>IF(A421="","",D421-E421)</f>
        <v/>
      </c>
      <c r="G421" s="22" t="str">
        <f>IF(A421="","",MAX(0,MIN(N('Calculator'!$B$8),C421-F421)))</f>
        <v/>
      </c>
      <c r="H421" s="23" t="str">
        <f>IF(A421="","",ROUND(C421-F421-G421,2))</f>
        <v/>
      </c>
      <c r="I421" s="20" t="str">
        <f>IF(A421="","",ROUNDUP(A421/12,0))</f>
        <v/>
      </c>
    </row>
    <row r="422" spans="1:9" x14ac:dyDescent="0.25">
      <c r="A422" s="20" t="str">
        <f>IF(H421="","",IF(H421&gt;0.005,A421+1,""))</f>
        <v/>
      </c>
      <c r="B422" s="21" t="str">
        <f>IF(A422="","",EDATE('Calculator'!$B$7,A422-1))</f>
        <v/>
      </c>
      <c r="C422" s="22" t="str">
        <f>IF(A422="","",H421)</f>
        <v/>
      </c>
      <c r="D422" s="22" t="str">
        <f>IF(A422="","",MIN('Calculator'!$B$10,C422+E422))</f>
        <v/>
      </c>
      <c r="E422" s="22" t="str">
        <f>IF(A422="","",ROUND(C422*'Calculator'!$B$5/12,2))</f>
        <v/>
      </c>
      <c r="F422" s="22" t="str">
        <f>IF(A422="","",D422-E422)</f>
        <v/>
      </c>
      <c r="G422" s="22" t="str">
        <f>IF(A422="","",MAX(0,MIN(N('Calculator'!$B$8),C422-F422)))</f>
        <v/>
      </c>
      <c r="H422" s="23" t="str">
        <f>IF(A422="","",ROUND(C422-F422-G422,2))</f>
        <v/>
      </c>
      <c r="I422" s="20" t="str">
        <f>IF(A422="","",ROUNDUP(A422/12,0))</f>
        <v/>
      </c>
    </row>
    <row r="423" spans="1:9" x14ac:dyDescent="0.25">
      <c r="A423" s="20" t="str">
        <f>IF(H422="","",IF(H422&gt;0.005,A422+1,""))</f>
        <v/>
      </c>
      <c r="B423" s="21" t="str">
        <f>IF(A423="","",EDATE('Calculator'!$B$7,A423-1))</f>
        <v/>
      </c>
      <c r="C423" s="22" t="str">
        <f>IF(A423="","",H422)</f>
        <v/>
      </c>
      <c r="D423" s="22" t="str">
        <f>IF(A423="","",MIN('Calculator'!$B$10,C423+E423))</f>
        <v/>
      </c>
      <c r="E423" s="22" t="str">
        <f>IF(A423="","",ROUND(C423*'Calculator'!$B$5/12,2))</f>
        <v/>
      </c>
      <c r="F423" s="22" t="str">
        <f>IF(A423="","",D423-E423)</f>
        <v/>
      </c>
      <c r="G423" s="22" t="str">
        <f>IF(A423="","",MAX(0,MIN(N('Calculator'!$B$8),C423-F423)))</f>
        <v/>
      </c>
      <c r="H423" s="23" t="str">
        <f>IF(A423="","",ROUND(C423-F423-G423,2))</f>
        <v/>
      </c>
      <c r="I423" s="20" t="str">
        <f>IF(A423="","",ROUNDUP(A423/12,0))</f>
        <v/>
      </c>
    </row>
    <row r="424" spans="1:9" x14ac:dyDescent="0.25">
      <c r="A424" s="20" t="str">
        <f>IF(H423="","",IF(H423&gt;0.005,A423+1,""))</f>
        <v/>
      </c>
      <c r="B424" s="21" t="str">
        <f>IF(A424="","",EDATE('Calculator'!$B$7,A424-1))</f>
        <v/>
      </c>
      <c r="C424" s="22" t="str">
        <f>IF(A424="","",H423)</f>
        <v/>
      </c>
      <c r="D424" s="22" t="str">
        <f>IF(A424="","",MIN('Calculator'!$B$10,C424+E424))</f>
        <v/>
      </c>
      <c r="E424" s="22" t="str">
        <f>IF(A424="","",ROUND(C424*'Calculator'!$B$5/12,2))</f>
        <v/>
      </c>
      <c r="F424" s="22" t="str">
        <f>IF(A424="","",D424-E424)</f>
        <v/>
      </c>
      <c r="G424" s="22" t="str">
        <f>IF(A424="","",MAX(0,MIN(N('Calculator'!$B$8),C424-F424)))</f>
        <v/>
      </c>
      <c r="H424" s="23" t="str">
        <f>IF(A424="","",ROUND(C424-F424-G424,2))</f>
        <v/>
      </c>
      <c r="I424" s="20" t="str">
        <f>IF(A424="","",ROUNDUP(A424/12,0))</f>
        <v/>
      </c>
    </row>
    <row r="425" spans="1:9" x14ac:dyDescent="0.25">
      <c r="A425" s="20" t="str">
        <f>IF(H424="","",IF(H424&gt;0.005,A424+1,""))</f>
        <v/>
      </c>
      <c r="B425" s="21" t="str">
        <f>IF(A425="","",EDATE('Calculator'!$B$7,A425-1))</f>
        <v/>
      </c>
      <c r="C425" s="22" t="str">
        <f>IF(A425="","",H424)</f>
        <v/>
      </c>
      <c r="D425" s="22" t="str">
        <f>IF(A425="","",MIN('Calculator'!$B$10,C425+E425))</f>
        <v/>
      </c>
      <c r="E425" s="22" t="str">
        <f>IF(A425="","",ROUND(C425*'Calculator'!$B$5/12,2))</f>
        <v/>
      </c>
      <c r="F425" s="22" t="str">
        <f>IF(A425="","",D425-E425)</f>
        <v/>
      </c>
      <c r="G425" s="22" t="str">
        <f>IF(A425="","",MAX(0,MIN(N('Calculator'!$B$8),C425-F425)))</f>
        <v/>
      </c>
      <c r="H425" s="23" t="str">
        <f>IF(A425="","",ROUND(C425-F425-G425,2))</f>
        <v/>
      </c>
      <c r="I425" s="20" t="str">
        <f>IF(A425="","",ROUNDUP(A425/12,0))</f>
        <v/>
      </c>
    </row>
    <row r="426" spans="1:9" x14ac:dyDescent="0.25">
      <c r="A426" s="20" t="str">
        <f>IF(H425="","",IF(H425&gt;0.005,A425+1,""))</f>
        <v/>
      </c>
      <c r="B426" s="21" t="str">
        <f>IF(A426="","",EDATE('Calculator'!$B$7,A426-1))</f>
        <v/>
      </c>
      <c r="C426" s="22" t="str">
        <f>IF(A426="","",H425)</f>
        <v/>
      </c>
      <c r="D426" s="22" t="str">
        <f>IF(A426="","",MIN('Calculator'!$B$10,C426+E426))</f>
        <v/>
      </c>
      <c r="E426" s="22" t="str">
        <f>IF(A426="","",ROUND(C426*'Calculator'!$B$5/12,2))</f>
        <v/>
      </c>
      <c r="F426" s="22" t="str">
        <f>IF(A426="","",D426-E426)</f>
        <v/>
      </c>
      <c r="G426" s="22" t="str">
        <f>IF(A426="","",MAX(0,MIN(N('Calculator'!$B$8),C426-F426)))</f>
        <v/>
      </c>
      <c r="H426" s="23" t="str">
        <f>IF(A426="","",ROUND(C426-F426-G426,2))</f>
        <v/>
      </c>
      <c r="I426" s="20" t="str">
        <f>IF(A426="","",ROUNDUP(A426/12,0))</f>
        <v/>
      </c>
    </row>
    <row r="427" spans="1:9" x14ac:dyDescent="0.25">
      <c r="A427" s="20" t="str">
        <f>IF(H426="","",IF(H426&gt;0.005,A426+1,""))</f>
        <v/>
      </c>
      <c r="B427" s="21" t="str">
        <f>IF(A427="","",EDATE('Calculator'!$B$7,A427-1))</f>
        <v/>
      </c>
      <c r="C427" s="22" t="str">
        <f>IF(A427="","",H426)</f>
        <v/>
      </c>
      <c r="D427" s="22" t="str">
        <f>IF(A427="","",MIN('Calculator'!$B$10,C427+E427))</f>
        <v/>
      </c>
      <c r="E427" s="22" t="str">
        <f>IF(A427="","",ROUND(C427*'Calculator'!$B$5/12,2))</f>
        <v/>
      </c>
      <c r="F427" s="22" t="str">
        <f>IF(A427="","",D427-E427)</f>
        <v/>
      </c>
      <c r="G427" s="22" t="str">
        <f>IF(A427="","",MAX(0,MIN(N('Calculator'!$B$8),C427-F427)))</f>
        <v/>
      </c>
      <c r="H427" s="23" t="str">
        <f>IF(A427="","",ROUND(C427-F427-G427,2))</f>
        <v/>
      </c>
      <c r="I427" s="20" t="str">
        <f>IF(A427="","",ROUNDUP(A427/12,0))</f>
        <v/>
      </c>
    </row>
    <row r="428" spans="1:9" x14ac:dyDescent="0.25">
      <c r="A428" s="20" t="str">
        <f>IF(H427="","",IF(H427&gt;0.005,A427+1,""))</f>
        <v/>
      </c>
      <c r="B428" s="21" t="str">
        <f>IF(A428="","",EDATE('Calculator'!$B$7,A428-1))</f>
        <v/>
      </c>
      <c r="C428" s="22" t="str">
        <f>IF(A428="","",H427)</f>
        <v/>
      </c>
      <c r="D428" s="22" t="str">
        <f>IF(A428="","",MIN('Calculator'!$B$10,C428+E428))</f>
        <v/>
      </c>
      <c r="E428" s="22" t="str">
        <f>IF(A428="","",ROUND(C428*'Calculator'!$B$5/12,2))</f>
        <v/>
      </c>
      <c r="F428" s="22" t="str">
        <f>IF(A428="","",D428-E428)</f>
        <v/>
      </c>
      <c r="G428" s="22" t="str">
        <f>IF(A428="","",MAX(0,MIN(N('Calculator'!$B$8),C428-F428)))</f>
        <v/>
      </c>
      <c r="H428" s="23" t="str">
        <f>IF(A428="","",ROUND(C428-F428-G428,2))</f>
        <v/>
      </c>
      <c r="I428" s="20" t="str">
        <f>IF(A428="","",ROUNDUP(A428/12,0))</f>
        <v/>
      </c>
    </row>
    <row r="429" spans="1:9" x14ac:dyDescent="0.25">
      <c r="A429" s="20" t="str">
        <f>IF(H428="","",IF(H428&gt;0.005,A428+1,""))</f>
        <v/>
      </c>
      <c r="B429" s="21" t="str">
        <f>IF(A429="","",EDATE('Calculator'!$B$7,A429-1))</f>
        <v/>
      </c>
      <c r="C429" s="22" t="str">
        <f>IF(A429="","",H428)</f>
        <v/>
      </c>
      <c r="D429" s="22" t="str">
        <f>IF(A429="","",MIN('Calculator'!$B$10,C429+E429))</f>
        <v/>
      </c>
      <c r="E429" s="22" t="str">
        <f>IF(A429="","",ROUND(C429*'Calculator'!$B$5/12,2))</f>
        <v/>
      </c>
      <c r="F429" s="22" t="str">
        <f>IF(A429="","",D429-E429)</f>
        <v/>
      </c>
      <c r="G429" s="22" t="str">
        <f>IF(A429="","",MAX(0,MIN(N('Calculator'!$B$8),C429-F429)))</f>
        <v/>
      </c>
      <c r="H429" s="23" t="str">
        <f>IF(A429="","",ROUND(C429-F429-G429,2))</f>
        <v/>
      </c>
      <c r="I429" s="20" t="str">
        <f>IF(A429="","",ROUNDUP(A429/12,0))</f>
        <v/>
      </c>
    </row>
    <row r="430" spans="1:9" x14ac:dyDescent="0.25">
      <c r="A430" s="20" t="str">
        <f>IF(H429="","",IF(H429&gt;0.005,A429+1,""))</f>
        <v/>
      </c>
      <c r="B430" s="21" t="str">
        <f>IF(A430="","",EDATE('Calculator'!$B$7,A430-1))</f>
        <v/>
      </c>
      <c r="C430" s="22" t="str">
        <f>IF(A430="","",H429)</f>
        <v/>
      </c>
      <c r="D430" s="22" t="str">
        <f>IF(A430="","",MIN('Calculator'!$B$10,C430+E430))</f>
        <v/>
      </c>
      <c r="E430" s="22" t="str">
        <f>IF(A430="","",ROUND(C430*'Calculator'!$B$5/12,2))</f>
        <v/>
      </c>
      <c r="F430" s="22" t="str">
        <f>IF(A430="","",D430-E430)</f>
        <v/>
      </c>
      <c r="G430" s="22" t="str">
        <f>IF(A430="","",MAX(0,MIN(N('Calculator'!$B$8),C430-F430)))</f>
        <v/>
      </c>
      <c r="H430" s="23" t="str">
        <f>IF(A430="","",ROUND(C430-F430-G430,2))</f>
        <v/>
      </c>
      <c r="I430" s="20" t="str">
        <f>IF(A430="","",ROUNDUP(A430/12,0))</f>
        <v/>
      </c>
    </row>
    <row r="431" spans="1:9" x14ac:dyDescent="0.25">
      <c r="A431" s="20" t="str">
        <f>IF(H430="","",IF(H430&gt;0.005,A430+1,""))</f>
        <v/>
      </c>
      <c r="B431" s="21" t="str">
        <f>IF(A431="","",EDATE('Calculator'!$B$7,A431-1))</f>
        <v/>
      </c>
      <c r="C431" s="22" t="str">
        <f>IF(A431="","",H430)</f>
        <v/>
      </c>
      <c r="D431" s="22" t="str">
        <f>IF(A431="","",MIN('Calculator'!$B$10,C431+E431))</f>
        <v/>
      </c>
      <c r="E431" s="22" t="str">
        <f>IF(A431="","",ROUND(C431*'Calculator'!$B$5/12,2))</f>
        <v/>
      </c>
      <c r="F431" s="22" t="str">
        <f>IF(A431="","",D431-E431)</f>
        <v/>
      </c>
      <c r="G431" s="22" t="str">
        <f>IF(A431="","",MAX(0,MIN(N('Calculator'!$B$8),C431-F431)))</f>
        <v/>
      </c>
      <c r="H431" s="23" t="str">
        <f>IF(A431="","",ROUND(C431-F431-G431,2))</f>
        <v/>
      </c>
      <c r="I431" s="20" t="str">
        <f>IF(A431="","",ROUNDUP(A431/12,0))</f>
        <v/>
      </c>
    </row>
    <row r="432" spans="1:9" x14ac:dyDescent="0.25">
      <c r="A432" s="20" t="str">
        <f>IF(H431="","",IF(H431&gt;0.005,A431+1,""))</f>
        <v/>
      </c>
      <c r="B432" s="21" t="str">
        <f>IF(A432="","",EDATE('Calculator'!$B$7,A432-1))</f>
        <v/>
      </c>
      <c r="C432" s="22" t="str">
        <f>IF(A432="","",H431)</f>
        <v/>
      </c>
      <c r="D432" s="22" t="str">
        <f>IF(A432="","",MIN('Calculator'!$B$10,C432+E432))</f>
        <v/>
      </c>
      <c r="E432" s="22" t="str">
        <f>IF(A432="","",ROUND(C432*'Calculator'!$B$5/12,2))</f>
        <v/>
      </c>
      <c r="F432" s="22" t="str">
        <f>IF(A432="","",D432-E432)</f>
        <v/>
      </c>
      <c r="G432" s="22" t="str">
        <f>IF(A432="","",MAX(0,MIN(N('Calculator'!$B$8),C432-F432)))</f>
        <v/>
      </c>
      <c r="H432" s="23" t="str">
        <f>IF(A432="","",ROUND(C432-F432-G432,2))</f>
        <v/>
      </c>
      <c r="I432" s="20" t="str">
        <f>IF(A432="","",ROUNDUP(A432/12,0))</f>
        <v/>
      </c>
    </row>
    <row r="433" spans="1:9" x14ac:dyDescent="0.25">
      <c r="A433" s="20" t="str">
        <f>IF(H432="","",IF(H432&gt;0.005,A432+1,""))</f>
        <v/>
      </c>
      <c r="B433" s="21" t="str">
        <f>IF(A433="","",EDATE('Calculator'!$B$7,A433-1))</f>
        <v/>
      </c>
      <c r="C433" s="22" t="str">
        <f>IF(A433="","",H432)</f>
        <v/>
      </c>
      <c r="D433" s="22" t="str">
        <f>IF(A433="","",MIN('Calculator'!$B$10,C433+E433))</f>
        <v/>
      </c>
      <c r="E433" s="22" t="str">
        <f>IF(A433="","",ROUND(C433*'Calculator'!$B$5/12,2))</f>
        <v/>
      </c>
      <c r="F433" s="22" t="str">
        <f>IF(A433="","",D433-E433)</f>
        <v/>
      </c>
      <c r="G433" s="22" t="str">
        <f>IF(A433="","",MAX(0,MIN(N('Calculator'!$B$8),C433-F433)))</f>
        <v/>
      </c>
      <c r="H433" s="23" t="str">
        <f>IF(A433="","",ROUND(C433-F433-G433,2))</f>
        <v/>
      </c>
      <c r="I433" s="20" t="str">
        <f>IF(A433="","",ROUNDUP(A433/12,0))</f>
        <v/>
      </c>
    </row>
    <row r="434" spans="1:9" x14ac:dyDescent="0.25">
      <c r="A434" s="20" t="str">
        <f>IF(H433="","",IF(H433&gt;0.005,A433+1,""))</f>
        <v/>
      </c>
      <c r="B434" s="21" t="str">
        <f>IF(A434="","",EDATE('Calculator'!$B$7,A434-1))</f>
        <v/>
      </c>
      <c r="C434" s="22" t="str">
        <f>IF(A434="","",H433)</f>
        <v/>
      </c>
      <c r="D434" s="22" t="str">
        <f>IF(A434="","",MIN('Calculator'!$B$10,C434+E434))</f>
        <v/>
      </c>
      <c r="E434" s="22" t="str">
        <f>IF(A434="","",ROUND(C434*'Calculator'!$B$5/12,2))</f>
        <v/>
      </c>
      <c r="F434" s="22" t="str">
        <f>IF(A434="","",D434-E434)</f>
        <v/>
      </c>
      <c r="G434" s="22" t="str">
        <f>IF(A434="","",MAX(0,MIN(N('Calculator'!$B$8),C434-F434)))</f>
        <v/>
      </c>
      <c r="H434" s="23" t="str">
        <f>IF(A434="","",ROUND(C434-F434-G434,2))</f>
        <v/>
      </c>
      <c r="I434" s="20" t="str">
        <f>IF(A434="","",ROUNDUP(A434/12,0))</f>
        <v/>
      </c>
    </row>
    <row r="435" spans="1:9" x14ac:dyDescent="0.25">
      <c r="A435" s="20" t="str">
        <f>IF(H434="","",IF(H434&gt;0.005,A434+1,""))</f>
        <v/>
      </c>
      <c r="B435" s="21" t="str">
        <f>IF(A435="","",EDATE('Calculator'!$B$7,A435-1))</f>
        <v/>
      </c>
      <c r="C435" s="22" t="str">
        <f>IF(A435="","",H434)</f>
        <v/>
      </c>
      <c r="D435" s="22" t="str">
        <f>IF(A435="","",MIN('Calculator'!$B$10,C435+E435))</f>
        <v/>
      </c>
      <c r="E435" s="22" t="str">
        <f>IF(A435="","",ROUND(C435*'Calculator'!$B$5/12,2))</f>
        <v/>
      </c>
      <c r="F435" s="22" t="str">
        <f>IF(A435="","",D435-E435)</f>
        <v/>
      </c>
      <c r="G435" s="22" t="str">
        <f>IF(A435="","",MAX(0,MIN(N('Calculator'!$B$8),C435-F435)))</f>
        <v/>
      </c>
      <c r="H435" s="23" t="str">
        <f>IF(A435="","",ROUND(C435-F435-G435,2))</f>
        <v/>
      </c>
      <c r="I435" s="20" t="str">
        <f>IF(A435="","",ROUNDUP(A435/12,0))</f>
        <v/>
      </c>
    </row>
    <row r="436" spans="1:9" x14ac:dyDescent="0.25">
      <c r="A436" s="20" t="str">
        <f>IF(H435="","",IF(H435&gt;0.005,A435+1,""))</f>
        <v/>
      </c>
      <c r="B436" s="21" t="str">
        <f>IF(A436="","",EDATE('Calculator'!$B$7,A436-1))</f>
        <v/>
      </c>
      <c r="C436" s="22" t="str">
        <f>IF(A436="","",H435)</f>
        <v/>
      </c>
      <c r="D436" s="22" t="str">
        <f>IF(A436="","",MIN('Calculator'!$B$10,C436+E436))</f>
        <v/>
      </c>
      <c r="E436" s="22" t="str">
        <f>IF(A436="","",ROUND(C436*'Calculator'!$B$5/12,2))</f>
        <v/>
      </c>
      <c r="F436" s="22" t="str">
        <f>IF(A436="","",D436-E436)</f>
        <v/>
      </c>
      <c r="G436" s="22" t="str">
        <f>IF(A436="","",MAX(0,MIN(N('Calculator'!$B$8),C436-F436)))</f>
        <v/>
      </c>
      <c r="H436" s="23" t="str">
        <f>IF(A436="","",ROUND(C436-F436-G436,2))</f>
        <v/>
      </c>
      <c r="I436" s="20" t="str">
        <f>IF(A436="","",ROUNDUP(A436/12,0))</f>
        <v/>
      </c>
    </row>
    <row r="437" spans="1:9" x14ac:dyDescent="0.25">
      <c r="A437" s="20" t="str">
        <f>IF(H436="","",IF(H436&gt;0.005,A436+1,""))</f>
        <v/>
      </c>
      <c r="B437" s="21" t="str">
        <f>IF(A437="","",EDATE('Calculator'!$B$7,A437-1))</f>
        <v/>
      </c>
      <c r="C437" s="22" t="str">
        <f>IF(A437="","",H436)</f>
        <v/>
      </c>
      <c r="D437" s="22" t="str">
        <f>IF(A437="","",MIN('Calculator'!$B$10,C437+E437))</f>
        <v/>
      </c>
      <c r="E437" s="22" t="str">
        <f>IF(A437="","",ROUND(C437*'Calculator'!$B$5/12,2))</f>
        <v/>
      </c>
      <c r="F437" s="22" t="str">
        <f>IF(A437="","",D437-E437)</f>
        <v/>
      </c>
      <c r="G437" s="22" t="str">
        <f>IF(A437="","",MAX(0,MIN(N('Calculator'!$B$8),C437-F437)))</f>
        <v/>
      </c>
      <c r="H437" s="23" t="str">
        <f>IF(A437="","",ROUND(C437-F437-G437,2))</f>
        <v/>
      </c>
      <c r="I437" s="20" t="str">
        <f>IF(A437="","",ROUNDUP(A437/12,0))</f>
        <v/>
      </c>
    </row>
    <row r="438" spans="1:9" x14ac:dyDescent="0.25">
      <c r="A438" s="20" t="str">
        <f>IF(H437="","",IF(H437&gt;0.005,A437+1,""))</f>
        <v/>
      </c>
      <c r="B438" s="21" t="str">
        <f>IF(A438="","",EDATE('Calculator'!$B$7,A438-1))</f>
        <v/>
      </c>
      <c r="C438" s="22" t="str">
        <f>IF(A438="","",H437)</f>
        <v/>
      </c>
      <c r="D438" s="22" t="str">
        <f>IF(A438="","",MIN('Calculator'!$B$10,C438+E438))</f>
        <v/>
      </c>
      <c r="E438" s="22" t="str">
        <f>IF(A438="","",ROUND(C438*'Calculator'!$B$5/12,2))</f>
        <v/>
      </c>
      <c r="F438" s="22" t="str">
        <f>IF(A438="","",D438-E438)</f>
        <v/>
      </c>
      <c r="G438" s="22" t="str">
        <f>IF(A438="","",MAX(0,MIN(N('Calculator'!$B$8),C438-F438)))</f>
        <v/>
      </c>
      <c r="H438" s="23" t="str">
        <f>IF(A438="","",ROUND(C438-F438-G438,2))</f>
        <v/>
      </c>
      <c r="I438" s="20" t="str">
        <f>IF(A438="","",ROUNDUP(A438/12,0))</f>
        <v/>
      </c>
    </row>
    <row r="439" spans="1:9" x14ac:dyDescent="0.25">
      <c r="A439" s="20" t="str">
        <f>IF(H438="","",IF(H438&gt;0.005,A438+1,""))</f>
        <v/>
      </c>
      <c r="B439" s="21" t="str">
        <f>IF(A439="","",EDATE('Calculator'!$B$7,A439-1))</f>
        <v/>
      </c>
      <c r="C439" s="22" t="str">
        <f>IF(A439="","",H438)</f>
        <v/>
      </c>
      <c r="D439" s="22" t="str">
        <f>IF(A439="","",MIN('Calculator'!$B$10,C439+E439))</f>
        <v/>
      </c>
      <c r="E439" s="22" t="str">
        <f>IF(A439="","",ROUND(C439*'Calculator'!$B$5/12,2))</f>
        <v/>
      </c>
      <c r="F439" s="22" t="str">
        <f>IF(A439="","",D439-E439)</f>
        <v/>
      </c>
      <c r="G439" s="22" t="str">
        <f>IF(A439="","",MAX(0,MIN(N('Calculator'!$B$8),C439-F439)))</f>
        <v/>
      </c>
      <c r="H439" s="23" t="str">
        <f>IF(A439="","",ROUND(C439-F439-G439,2))</f>
        <v/>
      </c>
      <c r="I439" s="20" t="str">
        <f>IF(A439="","",ROUNDUP(A439/12,0))</f>
        <v/>
      </c>
    </row>
    <row r="440" spans="1:9" x14ac:dyDescent="0.25">
      <c r="A440" s="20" t="str">
        <f>IF(H439="","",IF(H439&gt;0.005,A439+1,""))</f>
        <v/>
      </c>
      <c r="B440" s="21" t="str">
        <f>IF(A440="","",EDATE('Calculator'!$B$7,A440-1))</f>
        <v/>
      </c>
      <c r="C440" s="22" t="str">
        <f>IF(A440="","",H439)</f>
        <v/>
      </c>
      <c r="D440" s="22" t="str">
        <f>IF(A440="","",MIN('Calculator'!$B$10,C440+E440))</f>
        <v/>
      </c>
      <c r="E440" s="22" t="str">
        <f>IF(A440="","",ROUND(C440*'Calculator'!$B$5/12,2))</f>
        <v/>
      </c>
      <c r="F440" s="22" t="str">
        <f>IF(A440="","",D440-E440)</f>
        <v/>
      </c>
      <c r="G440" s="22" t="str">
        <f>IF(A440="","",MAX(0,MIN(N('Calculator'!$B$8),C440-F440)))</f>
        <v/>
      </c>
      <c r="H440" s="23" t="str">
        <f>IF(A440="","",ROUND(C440-F440-G440,2))</f>
        <v/>
      </c>
      <c r="I440" s="20" t="str">
        <f>IF(A440="","",ROUNDUP(A440/12,0))</f>
        <v/>
      </c>
    </row>
    <row r="441" spans="1:9" x14ac:dyDescent="0.25">
      <c r="A441" s="20" t="str">
        <f>IF(H440="","",IF(H440&gt;0.005,A440+1,""))</f>
        <v/>
      </c>
      <c r="B441" s="21" t="str">
        <f>IF(A441="","",EDATE('Calculator'!$B$7,A441-1))</f>
        <v/>
      </c>
      <c r="C441" s="22" t="str">
        <f>IF(A441="","",H440)</f>
        <v/>
      </c>
      <c r="D441" s="22" t="str">
        <f>IF(A441="","",MIN('Calculator'!$B$10,C441+E441))</f>
        <v/>
      </c>
      <c r="E441" s="22" t="str">
        <f>IF(A441="","",ROUND(C441*'Calculator'!$B$5/12,2))</f>
        <v/>
      </c>
      <c r="F441" s="22" t="str">
        <f>IF(A441="","",D441-E441)</f>
        <v/>
      </c>
      <c r="G441" s="22" t="str">
        <f>IF(A441="","",MAX(0,MIN(N('Calculator'!$B$8),C441-F441)))</f>
        <v/>
      </c>
      <c r="H441" s="23" t="str">
        <f>IF(A441="","",ROUND(C441-F441-G441,2))</f>
        <v/>
      </c>
      <c r="I441" s="20" t="str">
        <f>IF(A441="","",ROUNDUP(A441/12,0))</f>
        <v/>
      </c>
    </row>
    <row r="442" spans="1:9" x14ac:dyDescent="0.25">
      <c r="A442" s="20" t="str">
        <f>IF(H441="","",IF(H441&gt;0.005,A441+1,""))</f>
        <v/>
      </c>
      <c r="B442" s="21" t="str">
        <f>IF(A442="","",EDATE('Calculator'!$B$7,A442-1))</f>
        <v/>
      </c>
      <c r="C442" s="22" t="str">
        <f>IF(A442="","",H441)</f>
        <v/>
      </c>
      <c r="D442" s="22" t="str">
        <f>IF(A442="","",MIN('Calculator'!$B$10,C442+E442))</f>
        <v/>
      </c>
      <c r="E442" s="22" t="str">
        <f>IF(A442="","",ROUND(C442*'Calculator'!$B$5/12,2))</f>
        <v/>
      </c>
      <c r="F442" s="22" t="str">
        <f>IF(A442="","",D442-E442)</f>
        <v/>
      </c>
      <c r="G442" s="22" t="str">
        <f>IF(A442="","",MAX(0,MIN(N('Calculator'!$B$8),C442-F442)))</f>
        <v/>
      </c>
      <c r="H442" s="23" t="str">
        <f>IF(A442="","",ROUND(C442-F442-G442,2))</f>
        <v/>
      </c>
      <c r="I442" s="20" t="str">
        <f>IF(A442="","",ROUNDUP(A442/12,0))</f>
        <v/>
      </c>
    </row>
    <row r="443" spans="1:9" x14ac:dyDescent="0.25">
      <c r="A443" s="20" t="str">
        <f>IF(H442="","",IF(H442&gt;0.005,A442+1,""))</f>
        <v/>
      </c>
      <c r="B443" s="21" t="str">
        <f>IF(A443="","",EDATE('Calculator'!$B$7,A443-1))</f>
        <v/>
      </c>
      <c r="C443" s="22" t="str">
        <f>IF(A443="","",H442)</f>
        <v/>
      </c>
      <c r="D443" s="22" t="str">
        <f>IF(A443="","",MIN('Calculator'!$B$10,C443+E443))</f>
        <v/>
      </c>
      <c r="E443" s="22" t="str">
        <f>IF(A443="","",ROUND(C443*'Calculator'!$B$5/12,2))</f>
        <v/>
      </c>
      <c r="F443" s="22" t="str">
        <f>IF(A443="","",D443-E443)</f>
        <v/>
      </c>
      <c r="G443" s="22" t="str">
        <f>IF(A443="","",MAX(0,MIN(N('Calculator'!$B$8),C443-F443)))</f>
        <v/>
      </c>
      <c r="H443" s="23" t="str">
        <f>IF(A443="","",ROUND(C443-F443-G443,2))</f>
        <v/>
      </c>
      <c r="I443" s="20" t="str">
        <f>IF(A443="","",ROUNDUP(A443/12,0))</f>
        <v/>
      </c>
    </row>
    <row r="444" spans="1:9" x14ac:dyDescent="0.25">
      <c r="A444" s="20" t="str">
        <f>IF(H443="","",IF(H443&gt;0.005,A443+1,""))</f>
        <v/>
      </c>
      <c r="B444" s="21" t="str">
        <f>IF(A444="","",EDATE('Calculator'!$B$7,A444-1))</f>
        <v/>
      </c>
      <c r="C444" s="22" t="str">
        <f>IF(A444="","",H443)</f>
        <v/>
      </c>
      <c r="D444" s="22" t="str">
        <f>IF(A444="","",MIN('Calculator'!$B$10,C444+E444))</f>
        <v/>
      </c>
      <c r="E444" s="22" t="str">
        <f>IF(A444="","",ROUND(C444*'Calculator'!$B$5/12,2))</f>
        <v/>
      </c>
      <c r="F444" s="22" t="str">
        <f>IF(A444="","",D444-E444)</f>
        <v/>
      </c>
      <c r="G444" s="22" t="str">
        <f>IF(A444="","",MAX(0,MIN(N('Calculator'!$B$8),C444-F444)))</f>
        <v/>
      </c>
      <c r="H444" s="23" t="str">
        <f>IF(A444="","",ROUND(C444-F444-G444,2))</f>
        <v/>
      </c>
      <c r="I444" s="20" t="str">
        <f>IF(A444="","",ROUNDUP(A444/12,0))</f>
        <v/>
      </c>
    </row>
    <row r="445" spans="1:9" x14ac:dyDescent="0.25">
      <c r="A445" s="20" t="str">
        <f>IF(H444="","",IF(H444&gt;0.005,A444+1,""))</f>
        <v/>
      </c>
      <c r="B445" s="21" t="str">
        <f>IF(A445="","",EDATE('Calculator'!$B$7,A445-1))</f>
        <v/>
      </c>
      <c r="C445" s="22" t="str">
        <f>IF(A445="","",H444)</f>
        <v/>
      </c>
      <c r="D445" s="22" t="str">
        <f>IF(A445="","",MIN('Calculator'!$B$10,C445+E445))</f>
        <v/>
      </c>
      <c r="E445" s="22" t="str">
        <f>IF(A445="","",ROUND(C445*'Calculator'!$B$5/12,2))</f>
        <v/>
      </c>
      <c r="F445" s="22" t="str">
        <f>IF(A445="","",D445-E445)</f>
        <v/>
      </c>
      <c r="G445" s="22" t="str">
        <f>IF(A445="","",MAX(0,MIN(N('Calculator'!$B$8),C445-F445)))</f>
        <v/>
      </c>
      <c r="H445" s="23" t="str">
        <f>IF(A445="","",ROUND(C445-F445-G445,2))</f>
        <v/>
      </c>
      <c r="I445" s="20" t="str">
        <f>IF(A445="","",ROUNDUP(A445/12,0))</f>
        <v/>
      </c>
    </row>
    <row r="446" spans="1:9" x14ac:dyDescent="0.25">
      <c r="A446" s="20" t="str">
        <f>IF(H445="","",IF(H445&gt;0.005,A445+1,""))</f>
        <v/>
      </c>
      <c r="B446" s="21" t="str">
        <f>IF(A446="","",EDATE('Calculator'!$B$7,A446-1))</f>
        <v/>
      </c>
      <c r="C446" s="22" t="str">
        <f>IF(A446="","",H445)</f>
        <v/>
      </c>
      <c r="D446" s="22" t="str">
        <f>IF(A446="","",MIN('Calculator'!$B$10,C446+E446))</f>
        <v/>
      </c>
      <c r="E446" s="22" t="str">
        <f>IF(A446="","",ROUND(C446*'Calculator'!$B$5/12,2))</f>
        <v/>
      </c>
      <c r="F446" s="22" t="str">
        <f>IF(A446="","",D446-E446)</f>
        <v/>
      </c>
      <c r="G446" s="22" t="str">
        <f>IF(A446="","",MAX(0,MIN(N('Calculator'!$B$8),C446-F446)))</f>
        <v/>
      </c>
      <c r="H446" s="23" t="str">
        <f>IF(A446="","",ROUND(C446-F446-G446,2))</f>
        <v/>
      </c>
      <c r="I446" s="20" t="str">
        <f>IF(A446="","",ROUNDUP(A446/12,0))</f>
        <v/>
      </c>
    </row>
    <row r="447" spans="1:9" x14ac:dyDescent="0.25">
      <c r="A447" s="20" t="str">
        <f>IF(H446="","",IF(H446&gt;0.005,A446+1,""))</f>
        <v/>
      </c>
      <c r="B447" s="21" t="str">
        <f>IF(A447="","",EDATE('Calculator'!$B$7,A447-1))</f>
        <v/>
      </c>
      <c r="C447" s="22" t="str">
        <f>IF(A447="","",H446)</f>
        <v/>
      </c>
      <c r="D447" s="22" t="str">
        <f>IF(A447="","",MIN('Calculator'!$B$10,C447+E447))</f>
        <v/>
      </c>
      <c r="E447" s="22" t="str">
        <f>IF(A447="","",ROUND(C447*'Calculator'!$B$5/12,2))</f>
        <v/>
      </c>
      <c r="F447" s="22" t="str">
        <f>IF(A447="","",D447-E447)</f>
        <v/>
      </c>
      <c r="G447" s="22" t="str">
        <f>IF(A447="","",MAX(0,MIN(N('Calculator'!$B$8),C447-F447)))</f>
        <v/>
      </c>
      <c r="H447" s="23" t="str">
        <f>IF(A447="","",ROUND(C447-F447-G447,2))</f>
        <v/>
      </c>
      <c r="I447" s="20" t="str">
        <f>IF(A447="","",ROUNDUP(A447/12,0))</f>
        <v/>
      </c>
    </row>
    <row r="448" spans="1:9" x14ac:dyDescent="0.25">
      <c r="A448" s="20" t="str">
        <f>IF(H447="","",IF(H447&gt;0.005,A447+1,""))</f>
        <v/>
      </c>
      <c r="B448" s="21" t="str">
        <f>IF(A448="","",EDATE('Calculator'!$B$7,A448-1))</f>
        <v/>
      </c>
      <c r="C448" s="22" t="str">
        <f>IF(A448="","",H447)</f>
        <v/>
      </c>
      <c r="D448" s="22" t="str">
        <f>IF(A448="","",MIN('Calculator'!$B$10,C448+E448))</f>
        <v/>
      </c>
      <c r="E448" s="22" t="str">
        <f>IF(A448="","",ROUND(C448*'Calculator'!$B$5/12,2))</f>
        <v/>
      </c>
      <c r="F448" s="22" t="str">
        <f>IF(A448="","",D448-E448)</f>
        <v/>
      </c>
      <c r="G448" s="22" t="str">
        <f>IF(A448="","",MAX(0,MIN(N('Calculator'!$B$8),C448-F448)))</f>
        <v/>
      </c>
      <c r="H448" s="23" t="str">
        <f>IF(A448="","",ROUND(C448-F448-G448,2))</f>
        <v/>
      </c>
      <c r="I448" s="20" t="str">
        <f>IF(A448="","",ROUNDUP(A448/12,0))</f>
        <v/>
      </c>
    </row>
    <row r="449" spans="1:9" x14ac:dyDescent="0.25">
      <c r="A449" s="20" t="str">
        <f>IF(H448="","",IF(H448&gt;0.005,A448+1,""))</f>
        <v/>
      </c>
      <c r="B449" s="21" t="str">
        <f>IF(A449="","",EDATE('Calculator'!$B$7,A449-1))</f>
        <v/>
      </c>
      <c r="C449" s="22" t="str">
        <f>IF(A449="","",H448)</f>
        <v/>
      </c>
      <c r="D449" s="22" t="str">
        <f>IF(A449="","",MIN('Calculator'!$B$10,C449+E449))</f>
        <v/>
      </c>
      <c r="E449" s="22" t="str">
        <f>IF(A449="","",ROUND(C449*'Calculator'!$B$5/12,2))</f>
        <v/>
      </c>
      <c r="F449" s="22" t="str">
        <f>IF(A449="","",D449-E449)</f>
        <v/>
      </c>
      <c r="G449" s="22" t="str">
        <f>IF(A449="","",MAX(0,MIN(N('Calculator'!$B$8),C449-F449)))</f>
        <v/>
      </c>
      <c r="H449" s="23" t="str">
        <f>IF(A449="","",ROUND(C449-F449-G449,2))</f>
        <v/>
      </c>
      <c r="I449" s="20" t="str">
        <f>IF(A449="","",ROUNDUP(A449/12,0))</f>
        <v/>
      </c>
    </row>
    <row r="450" spans="1:9" x14ac:dyDescent="0.25">
      <c r="A450" s="20" t="str">
        <f>IF(H449="","",IF(H449&gt;0.005,A449+1,""))</f>
        <v/>
      </c>
      <c r="B450" s="21" t="str">
        <f>IF(A450="","",EDATE('Calculator'!$B$7,A450-1))</f>
        <v/>
      </c>
      <c r="C450" s="22" t="str">
        <f>IF(A450="","",H449)</f>
        <v/>
      </c>
      <c r="D450" s="22" t="str">
        <f>IF(A450="","",MIN('Calculator'!$B$10,C450+E450))</f>
        <v/>
      </c>
      <c r="E450" s="22" t="str">
        <f>IF(A450="","",ROUND(C450*'Calculator'!$B$5/12,2))</f>
        <v/>
      </c>
      <c r="F450" s="22" t="str">
        <f>IF(A450="","",D450-E450)</f>
        <v/>
      </c>
      <c r="G450" s="22" t="str">
        <f>IF(A450="","",MAX(0,MIN(N('Calculator'!$B$8),C450-F450)))</f>
        <v/>
      </c>
      <c r="H450" s="23" t="str">
        <f>IF(A450="","",ROUND(C450-F450-G450,2))</f>
        <v/>
      </c>
      <c r="I450" s="20" t="str">
        <f>IF(A450="","",ROUNDUP(A450/12,0))</f>
        <v/>
      </c>
    </row>
    <row r="451" spans="1:9" x14ac:dyDescent="0.25">
      <c r="A451" s="20" t="str">
        <f>IF(H450="","",IF(H450&gt;0.005,A450+1,""))</f>
        <v/>
      </c>
      <c r="B451" s="21" t="str">
        <f>IF(A451="","",EDATE('Calculator'!$B$7,A451-1))</f>
        <v/>
      </c>
      <c r="C451" s="22" t="str">
        <f>IF(A451="","",H450)</f>
        <v/>
      </c>
      <c r="D451" s="22" t="str">
        <f>IF(A451="","",MIN('Calculator'!$B$10,C451+E451))</f>
        <v/>
      </c>
      <c r="E451" s="22" t="str">
        <f>IF(A451="","",ROUND(C451*'Calculator'!$B$5/12,2))</f>
        <v/>
      </c>
      <c r="F451" s="22" t="str">
        <f>IF(A451="","",D451-E451)</f>
        <v/>
      </c>
      <c r="G451" s="22" t="str">
        <f>IF(A451="","",MAX(0,MIN(N('Calculator'!$B$8),C451-F451)))</f>
        <v/>
      </c>
      <c r="H451" s="23" t="str">
        <f>IF(A451="","",ROUND(C451-F451-G451,2))</f>
        <v/>
      </c>
      <c r="I451" s="20" t="str">
        <f>IF(A451="","",ROUNDUP(A451/12,0))</f>
        <v/>
      </c>
    </row>
    <row r="452" spans="1:9" x14ac:dyDescent="0.25">
      <c r="A452" s="20" t="str">
        <f>IF(H451="","",IF(H451&gt;0.005,A451+1,""))</f>
        <v/>
      </c>
      <c r="B452" s="21" t="str">
        <f>IF(A452="","",EDATE('Calculator'!$B$7,A452-1))</f>
        <v/>
      </c>
      <c r="C452" s="22" t="str">
        <f>IF(A452="","",H451)</f>
        <v/>
      </c>
      <c r="D452" s="22" t="str">
        <f>IF(A452="","",MIN('Calculator'!$B$10,C452+E452))</f>
        <v/>
      </c>
      <c r="E452" s="22" t="str">
        <f>IF(A452="","",ROUND(C452*'Calculator'!$B$5/12,2))</f>
        <v/>
      </c>
      <c r="F452" s="22" t="str">
        <f>IF(A452="","",D452-E452)</f>
        <v/>
      </c>
      <c r="G452" s="22" t="str">
        <f>IF(A452="","",MAX(0,MIN(N('Calculator'!$B$8),C452-F452)))</f>
        <v/>
      </c>
      <c r="H452" s="23" t="str">
        <f>IF(A452="","",ROUND(C452-F452-G452,2))</f>
        <v/>
      </c>
      <c r="I452" s="20" t="str">
        <f>IF(A452="","",ROUNDUP(A452/12,0))</f>
        <v/>
      </c>
    </row>
    <row r="453" spans="1:9" x14ac:dyDescent="0.25">
      <c r="A453" s="20" t="str">
        <f>IF(H452="","",IF(H452&gt;0.005,A452+1,""))</f>
        <v/>
      </c>
      <c r="B453" s="21" t="str">
        <f>IF(A453="","",EDATE('Calculator'!$B$7,A453-1))</f>
        <v/>
      </c>
      <c r="C453" s="22" t="str">
        <f>IF(A453="","",H452)</f>
        <v/>
      </c>
      <c r="D453" s="22" t="str">
        <f>IF(A453="","",MIN('Calculator'!$B$10,C453+E453))</f>
        <v/>
      </c>
      <c r="E453" s="22" t="str">
        <f>IF(A453="","",ROUND(C453*'Calculator'!$B$5/12,2))</f>
        <v/>
      </c>
      <c r="F453" s="22" t="str">
        <f>IF(A453="","",D453-E453)</f>
        <v/>
      </c>
      <c r="G453" s="22" t="str">
        <f>IF(A453="","",MAX(0,MIN(N('Calculator'!$B$8),C453-F453)))</f>
        <v/>
      </c>
      <c r="H453" s="23" t="str">
        <f>IF(A453="","",ROUND(C453-F453-G453,2))</f>
        <v/>
      </c>
      <c r="I453" s="20" t="str">
        <f>IF(A453="","",ROUNDUP(A453/12,0))</f>
        <v/>
      </c>
    </row>
    <row r="454" spans="1:9" x14ac:dyDescent="0.25">
      <c r="A454" s="20" t="str">
        <f>IF(H453="","",IF(H453&gt;0.005,A453+1,""))</f>
        <v/>
      </c>
      <c r="B454" s="21" t="str">
        <f>IF(A454="","",EDATE('Calculator'!$B$7,A454-1))</f>
        <v/>
      </c>
      <c r="C454" s="22" t="str">
        <f>IF(A454="","",H453)</f>
        <v/>
      </c>
      <c r="D454" s="22" t="str">
        <f>IF(A454="","",MIN('Calculator'!$B$10,C454+E454))</f>
        <v/>
      </c>
      <c r="E454" s="22" t="str">
        <f>IF(A454="","",ROUND(C454*'Calculator'!$B$5/12,2))</f>
        <v/>
      </c>
      <c r="F454" s="22" t="str">
        <f>IF(A454="","",D454-E454)</f>
        <v/>
      </c>
      <c r="G454" s="22" t="str">
        <f>IF(A454="","",MAX(0,MIN(N('Calculator'!$B$8),C454-F454)))</f>
        <v/>
      </c>
      <c r="H454" s="23" t="str">
        <f>IF(A454="","",ROUND(C454-F454-G454,2))</f>
        <v/>
      </c>
      <c r="I454" s="20" t="str">
        <f>IF(A454="","",ROUNDUP(A454/12,0))</f>
        <v/>
      </c>
    </row>
    <row r="455" spans="1:9" x14ac:dyDescent="0.25">
      <c r="A455" s="20" t="str">
        <f>IF(H454="","",IF(H454&gt;0.005,A454+1,""))</f>
        <v/>
      </c>
      <c r="B455" s="21" t="str">
        <f>IF(A455="","",EDATE('Calculator'!$B$7,A455-1))</f>
        <v/>
      </c>
      <c r="C455" s="22" t="str">
        <f>IF(A455="","",H454)</f>
        <v/>
      </c>
      <c r="D455" s="22" t="str">
        <f>IF(A455="","",MIN('Calculator'!$B$10,C455+E455))</f>
        <v/>
      </c>
      <c r="E455" s="22" t="str">
        <f>IF(A455="","",ROUND(C455*'Calculator'!$B$5/12,2))</f>
        <v/>
      </c>
      <c r="F455" s="22" t="str">
        <f>IF(A455="","",D455-E455)</f>
        <v/>
      </c>
      <c r="G455" s="22" t="str">
        <f>IF(A455="","",MAX(0,MIN(N('Calculator'!$B$8),C455-F455)))</f>
        <v/>
      </c>
      <c r="H455" s="23" t="str">
        <f>IF(A455="","",ROUND(C455-F455-G455,2))</f>
        <v/>
      </c>
      <c r="I455" s="20" t="str">
        <f>IF(A455="","",ROUNDUP(A455/12,0))</f>
        <v/>
      </c>
    </row>
    <row r="456" spans="1:9" x14ac:dyDescent="0.25">
      <c r="A456" s="20" t="str">
        <f>IF(H455="","",IF(H455&gt;0.005,A455+1,""))</f>
        <v/>
      </c>
      <c r="B456" s="21" t="str">
        <f>IF(A456="","",EDATE('Calculator'!$B$7,A456-1))</f>
        <v/>
      </c>
      <c r="C456" s="22" t="str">
        <f>IF(A456="","",H455)</f>
        <v/>
      </c>
      <c r="D456" s="22" t="str">
        <f>IF(A456="","",MIN('Calculator'!$B$10,C456+E456))</f>
        <v/>
      </c>
      <c r="E456" s="22" t="str">
        <f>IF(A456="","",ROUND(C456*'Calculator'!$B$5/12,2))</f>
        <v/>
      </c>
      <c r="F456" s="22" t="str">
        <f>IF(A456="","",D456-E456)</f>
        <v/>
      </c>
      <c r="G456" s="22" t="str">
        <f>IF(A456="","",MAX(0,MIN(N('Calculator'!$B$8),C456-F456)))</f>
        <v/>
      </c>
      <c r="H456" s="23" t="str">
        <f>IF(A456="","",ROUND(C456-F456-G456,2))</f>
        <v/>
      </c>
      <c r="I456" s="20" t="str">
        <f>IF(A456="","",ROUNDUP(A456/12,0))</f>
        <v/>
      </c>
    </row>
    <row r="457" spans="1:9" x14ac:dyDescent="0.25">
      <c r="A457" s="20" t="str">
        <f>IF(H456="","",IF(H456&gt;0.005,A456+1,""))</f>
        <v/>
      </c>
      <c r="B457" s="21" t="str">
        <f>IF(A457="","",EDATE('Calculator'!$B$7,A457-1))</f>
        <v/>
      </c>
      <c r="C457" s="22" t="str">
        <f>IF(A457="","",H456)</f>
        <v/>
      </c>
      <c r="D457" s="22" t="str">
        <f>IF(A457="","",MIN('Calculator'!$B$10,C457+E457))</f>
        <v/>
      </c>
      <c r="E457" s="22" t="str">
        <f>IF(A457="","",ROUND(C457*'Calculator'!$B$5/12,2))</f>
        <v/>
      </c>
      <c r="F457" s="22" t="str">
        <f>IF(A457="","",D457-E457)</f>
        <v/>
      </c>
      <c r="G457" s="22" t="str">
        <f>IF(A457="","",MAX(0,MIN(N('Calculator'!$B$8),C457-F457)))</f>
        <v/>
      </c>
      <c r="H457" s="23" t="str">
        <f>IF(A457="","",ROUND(C457-F457-G457,2))</f>
        <v/>
      </c>
      <c r="I457" s="20" t="str">
        <f>IF(A457="","",ROUNDUP(A457/12,0))</f>
        <v/>
      </c>
    </row>
    <row r="458" spans="1:9" x14ac:dyDescent="0.25">
      <c r="A458" s="20" t="str">
        <f>IF(H457="","",IF(H457&gt;0.005,A457+1,""))</f>
        <v/>
      </c>
      <c r="B458" s="21" t="str">
        <f>IF(A458="","",EDATE('Calculator'!$B$7,A458-1))</f>
        <v/>
      </c>
      <c r="C458" s="22" t="str">
        <f>IF(A458="","",H457)</f>
        <v/>
      </c>
      <c r="D458" s="22" t="str">
        <f>IF(A458="","",MIN('Calculator'!$B$10,C458+E458))</f>
        <v/>
      </c>
      <c r="E458" s="22" t="str">
        <f>IF(A458="","",ROUND(C458*'Calculator'!$B$5/12,2))</f>
        <v/>
      </c>
      <c r="F458" s="22" t="str">
        <f>IF(A458="","",D458-E458)</f>
        <v/>
      </c>
      <c r="G458" s="22" t="str">
        <f>IF(A458="","",MAX(0,MIN(N('Calculator'!$B$8),C458-F458)))</f>
        <v/>
      </c>
      <c r="H458" s="23" t="str">
        <f>IF(A458="","",ROUND(C458-F458-G458,2))</f>
        <v/>
      </c>
      <c r="I458" s="20" t="str">
        <f>IF(A458="","",ROUNDUP(A458/12,0))</f>
        <v/>
      </c>
    </row>
    <row r="459" spans="1:9" x14ac:dyDescent="0.25">
      <c r="A459" s="20" t="str">
        <f>IF(H458="","",IF(H458&gt;0.005,A458+1,""))</f>
        <v/>
      </c>
      <c r="B459" s="21" t="str">
        <f>IF(A459="","",EDATE('Calculator'!$B$7,A459-1))</f>
        <v/>
      </c>
      <c r="C459" s="22" t="str">
        <f>IF(A459="","",H458)</f>
        <v/>
      </c>
      <c r="D459" s="22" t="str">
        <f>IF(A459="","",MIN('Calculator'!$B$10,C459+E459))</f>
        <v/>
      </c>
      <c r="E459" s="22" t="str">
        <f>IF(A459="","",ROUND(C459*'Calculator'!$B$5/12,2))</f>
        <v/>
      </c>
      <c r="F459" s="22" t="str">
        <f>IF(A459="","",D459-E459)</f>
        <v/>
      </c>
      <c r="G459" s="22" t="str">
        <f>IF(A459="","",MAX(0,MIN(N('Calculator'!$B$8),C459-F459)))</f>
        <v/>
      </c>
      <c r="H459" s="23" t="str">
        <f>IF(A459="","",ROUND(C459-F459-G459,2))</f>
        <v/>
      </c>
      <c r="I459" s="20" t="str">
        <f>IF(A459="","",ROUNDUP(A459/12,0))</f>
        <v/>
      </c>
    </row>
    <row r="460" spans="1:9" x14ac:dyDescent="0.25">
      <c r="A460" s="20" t="str">
        <f>IF(H459="","",IF(H459&gt;0.005,A459+1,""))</f>
        <v/>
      </c>
      <c r="B460" s="21" t="str">
        <f>IF(A460="","",EDATE('Calculator'!$B$7,A460-1))</f>
        <v/>
      </c>
      <c r="C460" s="22" t="str">
        <f>IF(A460="","",H459)</f>
        <v/>
      </c>
      <c r="D460" s="22" t="str">
        <f>IF(A460="","",MIN('Calculator'!$B$10,C460+E460))</f>
        <v/>
      </c>
      <c r="E460" s="22" t="str">
        <f>IF(A460="","",ROUND(C460*'Calculator'!$B$5/12,2))</f>
        <v/>
      </c>
      <c r="F460" s="22" t="str">
        <f>IF(A460="","",D460-E460)</f>
        <v/>
      </c>
      <c r="G460" s="22" t="str">
        <f>IF(A460="","",MAX(0,MIN(N('Calculator'!$B$8),C460-F460)))</f>
        <v/>
      </c>
      <c r="H460" s="23" t="str">
        <f>IF(A460="","",ROUND(C460-F460-G460,2))</f>
        <v/>
      </c>
      <c r="I460" s="20" t="str">
        <f>IF(A460="","",ROUNDUP(A460/12,0))</f>
        <v/>
      </c>
    </row>
    <row r="461" spans="1:9" x14ac:dyDescent="0.25">
      <c r="A461" s="20" t="str">
        <f>IF(H460="","",IF(H460&gt;0.005,A460+1,""))</f>
        <v/>
      </c>
      <c r="B461" s="21" t="str">
        <f>IF(A461="","",EDATE('Calculator'!$B$7,A461-1))</f>
        <v/>
      </c>
      <c r="C461" s="22" t="str">
        <f>IF(A461="","",H460)</f>
        <v/>
      </c>
      <c r="D461" s="22" t="str">
        <f>IF(A461="","",MIN('Calculator'!$B$10,C461+E461))</f>
        <v/>
      </c>
      <c r="E461" s="22" t="str">
        <f>IF(A461="","",ROUND(C461*'Calculator'!$B$5/12,2))</f>
        <v/>
      </c>
      <c r="F461" s="22" t="str">
        <f>IF(A461="","",D461-E461)</f>
        <v/>
      </c>
      <c r="G461" s="22" t="str">
        <f>IF(A461="","",MAX(0,MIN(N('Calculator'!$B$8),C461-F461)))</f>
        <v/>
      </c>
      <c r="H461" s="23" t="str">
        <f>IF(A461="","",ROUND(C461-F461-G461,2))</f>
        <v/>
      </c>
      <c r="I461" s="20" t="str">
        <f>IF(A461="","",ROUNDUP(A461/12,0))</f>
        <v/>
      </c>
    </row>
    <row r="462" spans="1:9" x14ac:dyDescent="0.25">
      <c r="A462" s="20" t="str">
        <f>IF(H461="","",IF(H461&gt;0.005,A461+1,""))</f>
        <v/>
      </c>
      <c r="B462" s="21" t="str">
        <f>IF(A462="","",EDATE('Calculator'!$B$7,A462-1))</f>
        <v/>
      </c>
      <c r="C462" s="22" t="str">
        <f>IF(A462="","",H461)</f>
        <v/>
      </c>
      <c r="D462" s="22" t="str">
        <f>IF(A462="","",MIN('Calculator'!$B$10,C462+E462))</f>
        <v/>
      </c>
      <c r="E462" s="22" t="str">
        <f>IF(A462="","",ROUND(C462*'Calculator'!$B$5/12,2))</f>
        <v/>
      </c>
      <c r="F462" s="22" t="str">
        <f>IF(A462="","",D462-E462)</f>
        <v/>
      </c>
      <c r="G462" s="22" t="str">
        <f>IF(A462="","",MAX(0,MIN(N('Calculator'!$B$8),C462-F462)))</f>
        <v/>
      </c>
      <c r="H462" s="23" t="str">
        <f>IF(A462="","",ROUND(C462-F462-G462,2))</f>
        <v/>
      </c>
      <c r="I462" s="20" t="str">
        <f>IF(A462="","",ROUNDUP(A462/12,0))</f>
        <v/>
      </c>
    </row>
    <row r="463" spans="1:9" x14ac:dyDescent="0.25">
      <c r="A463" s="20" t="str">
        <f>IF(H462="","",IF(H462&gt;0.005,A462+1,""))</f>
        <v/>
      </c>
      <c r="B463" s="21" t="str">
        <f>IF(A463="","",EDATE('Calculator'!$B$7,A463-1))</f>
        <v/>
      </c>
      <c r="C463" s="22" t="str">
        <f>IF(A463="","",H462)</f>
        <v/>
      </c>
      <c r="D463" s="22" t="str">
        <f>IF(A463="","",MIN('Calculator'!$B$10,C463+E463))</f>
        <v/>
      </c>
      <c r="E463" s="22" t="str">
        <f>IF(A463="","",ROUND(C463*'Calculator'!$B$5/12,2))</f>
        <v/>
      </c>
      <c r="F463" s="22" t="str">
        <f>IF(A463="","",D463-E463)</f>
        <v/>
      </c>
      <c r="G463" s="22" t="str">
        <f>IF(A463="","",MAX(0,MIN(N('Calculator'!$B$8),C463-F463)))</f>
        <v/>
      </c>
      <c r="H463" s="23" t="str">
        <f>IF(A463="","",ROUND(C463-F463-G463,2))</f>
        <v/>
      </c>
      <c r="I463" s="20" t="str">
        <f>IF(A463="","",ROUNDUP(A463/12,0))</f>
        <v/>
      </c>
    </row>
    <row r="464" spans="1:9" x14ac:dyDescent="0.25">
      <c r="A464" s="20" t="str">
        <f>IF(H463="","",IF(H463&gt;0.005,A463+1,""))</f>
        <v/>
      </c>
      <c r="B464" s="21" t="str">
        <f>IF(A464="","",EDATE('Calculator'!$B$7,A464-1))</f>
        <v/>
      </c>
      <c r="C464" s="22" t="str">
        <f>IF(A464="","",H463)</f>
        <v/>
      </c>
      <c r="D464" s="22" t="str">
        <f>IF(A464="","",MIN('Calculator'!$B$10,C464+E464))</f>
        <v/>
      </c>
      <c r="E464" s="22" t="str">
        <f>IF(A464="","",ROUND(C464*'Calculator'!$B$5/12,2))</f>
        <v/>
      </c>
      <c r="F464" s="22" t="str">
        <f>IF(A464="","",D464-E464)</f>
        <v/>
      </c>
      <c r="G464" s="22" t="str">
        <f>IF(A464="","",MAX(0,MIN(N('Calculator'!$B$8),C464-F464)))</f>
        <v/>
      </c>
      <c r="H464" s="23" t="str">
        <f>IF(A464="","",ROUND(C464-F464-G464,2))</f>
        <v/>
      </c>
      <c r="I464" s="20" t="str">
        <f>IF(A464="","",ROUNDUP(A464/12,0))</f>
        <v/>
      </c>
    </row>
    <row r="465" spans="1:9" x14ac:dyDescent="0.25">
      <c r="A465" s="20" t="str">
        <f>IF(H464="","",IF(H464&gt;0.005,A464+1,""))</f>
        <v/>
      </c>
      <c r="B465" s="21" t="str">
        <f>IF(A465="","",EDATE('Calculator'!$B$7,A465-1))</f>
        <v/>
      </c>
      <c r="C465" s="22" t="str">
        <f>IF(A465="","",H464)</f>
        <v/>
      </c>
      <c r="D465" s="22" t="str">
        <f>IF(A465="","",MIN('Calculator'!$B$10,C465+E465))</f>
        <v/>
      </c>
      <c r="E465" s="22" t="str">
        <f>IF(A465="","",ROUND(C465*'Calculator'!$B$5/12,2))</f>
        <v/>
      </c>
      <c r="F465" s="22" t="str">
        <f>IF(A465="","",D465-E465)</f>
        <v/>
      </c>
      <c r="G465" s="22" t="str">
        <f>IF(A465="","",MAX(0,MIN(N('Calculator'!$B$8),C465-F465)))</f>
        <v/>
      </c>
      <c r="H465" s="23" t="str">
        <f>IF(A465="","",ROUND(C465-F465-G465,2))</f>
        <v/>
      </c>
      <c r="I465" s="20" t="str">
        <f>IF(A465="","",ROUNDUP(A465/12,0))</f>
        <v/>
      </c>
    </row>
    <row r="466" spans="1:9" x14ac:dyDescent="0.25">
      <c r="A466" s="20" t="str">
        <f>IF(H465="","",IF(H465&gt;0.005,A465+1,""))</f>
        <v/>
      </c>
      <c r="B466" s="21" t="str">
        <f>IF(A466="","",EDATE('Calculator'!$B$7,A466-1))</f>
        <v/>
      </c>
      <c r="C466" s="22" t="str">
        <f>IF(A466="","",H465)</f>
        <v/>
      </c>
      <c r="D466" s="22" t="str">
        <f>IF(A466="","",MIN('Calculator'!$B$10,C466+E466))</f>
        <v/>
      </c>
      <c r="E466" s="22" t="str">
        <f>IF(A466="","",ROUND(C466*'Calculator'!$B$5/12,2))</f>
        <v/>
      </c>
      <c r="F466" s="22" t="str">
        <f>IF(A466="","",D466-E466)</f>
        <v/>
      </c>
      <c r="G466" s="22" t="str">
        <f>IF(A466="","",MAX(0,MIN(N('Calculator'!$B$8),C466-F466)))</f>
        <v/>
      </c>
      <c r="H466" s="23" t="str">
        <f>IF(A466="","",ROUND(C466-F466-G466,2))</f>
        <v/>
      </c>
      <c r="I466" s="20" t="str">
        <f>IF(A466="","",ROUNDUP(A466/12,0))</f>
        <v/>
      </c>
    </row>
    <row r="467" spans="1:9" x14ac:dyDescent="0.25">
      <c r="A467" s="20" t="str">
        <f>IF(H466="","",IF(H466&gt;0.005,A466+1,""))</f>
        <v/>
      </c>
      <c r="B467" s="21" t="str">
        <f>IF(A467="","",EDATE('Calculator'!$B$7,A467-1))</f>
        <v/>
      </c>
      <c r="C467" s="22" t="str">
        <f>IF(A467="","",H466)</f>
        <v/>
      </c>
      <c r="D467" s="22" t="str">
        <f>IF(A467="","",MIN('Calculator'!$B$10,C467+E467))</f>
        <v/>
      </c>
      <c r="E467" s="22" t="str">
        <f>IF(A467="","",ROUND(C467*'Calculator'!$B$5/12,2))</f>
        <v/>
      </c>
      <c r="F467" s="22" t="str">
        <f>IF(A467="","",D467-E467)</f>
        <v/>
      </c>
      <c r="G467" s="22" t="str">
        <f>IF(A467="","",MAX(0,MIN(N('Calculator'!$B$8),C467-F467)))</f>
        <v/>
      </c>
      <c r="H467" s="23" t="str">
        <f>IF(A467="","",ROUND(C467-F467-G467,2))</f>
        <v/>
      </c>
      <c r="I467" s="20" t="str">
        <f>IF(A467="","",ROUNDUP(A467/12,0))</f>
        <v/>
      </c>
    </row>
    <row r="468" spans="1:9" x14ac:dyDescent="0.25">
      <c r="A468" s="20" t="str">
        <f>IF(H467="","",IF(H467&gt;0.005,A467+1,""))</f>
        <v/>
      </c>
      <c r="B468" s="21" t="str">
        <f>IF(A468="","",EDATE('Calculator'!$B$7,A468-1))</f>
        <v/>
      </c>
      <c r="C468" s="22" t="str">
        <f>IF(A468="","",H467)</f>
        <v/>
      </c>
      <c r="D468" s="22" t="str">
        <f>IF(A468="","",MIN('Calculator'!$B$10,C468+E468))</f>
        <v/>
      </c>
      <c r="E468" s="22" t="str">
        <f>IF(A468="","",ROUND(C468*'Calculator'!$B$5/12,2))</f>
        <v/>
      </c>
      <c r="F468" s="22" t="str">
        <f>IF(A468="","",D468-E468)</f>
        <v/>
      </c>
      <c r="G468" s="22" t="str">
        <f>IF(A468="","",MAX(0,MIN(N('Calculator'!$B$8),C468-F468)))</f>
        <v/>
      </c>
      <c r="H468" s="23" t="str">
        <f>IF(A468="","",ROUND(C468-F468-G468,2))</f>
        <v/>
      </c>
      <c r="I468" s="20" t="str">
        <f>IF(A468="","",ROUNDUP(A468/12,0))</f>
        <v/>
      </c>
    </row>
    <row r="469" spans="1:9" x14ac:dyDescent="0.25">
      <c r="A469" s="20" t="str">
        <f>IF(H468="","",IF(H468&gt;0.005,A468+1,""))</f>
        <v/>
      </c>
      <c r="B469" s="21" t="str">
        <f>IF(A469="","",EDATE('Calculator'!$B$7,A469-1))</f>
        <v/>
      </c>
      <c r="C469" s="22" t="str">
        <f>IF(A469="","",H468)</f>
        <v/>
      </c>
      <c r="D469" s="22" t="str">
        <f>IF(A469="","",MIN('Calculator'!$B$10,C469+E469))</f>
        <v/>
      </c>
      <c r="E469" s="22" t="str">
        <f>IF(A469="","",ROUND(C469*'Calculator'!$B$5/12,2))</f>
        <v/>
      </c>
      <c r="F469" s="22" t="str">
        <f>IF(A469="","",D469-E469)</f>
        <v/>
      </c>
      <c r="G469" s="22" t="str">
        <f>IF(A469="","",MAX(0,MIN(N('Calculator'!$B$8),C469-F469)))</f>
        <v/>
      </c>
      <c r="H469" s="23" t="str">
        <f>IF(A469="","",ROUND(C469-F469-G469,2))</f>
        <v/>
      </c>
      <c r="I469" s="20" t="str">
        <f>IF(A469="","",ROUNDUP(A469/12,0))</f>
        <v/>
      </c>
    </row>
    <row r="470" spans="1:9" x14ac:dyDescent="0.25">
      <c r="A470" s="20" t="str">
        <f>IF(H469="","",IF(H469&gt;0.005,A469+1,""))</f>
        <v/>
      </c>
      <c r="B470" s="21" t="str">
        <f>IF(A470="","",EDATE('Calculator'!$B$7,A470-1))</f>
        <v/>
      </c>
      <c r="C470" s="22" t="str">
        <f>IF(A470="","",H469)</f>
        <v/>
      </c>
      <c r="D470" s="22" t="str">
        <f>IF(A470="","",MIN('Calculator'!$B$10,C470+E470))</f>
        <v/>
      </c>
      <c r="E470" s="22" t="str">
        <f>IF(A470="","",ROUND(C470*'Calculator'!$B$5/12,2))</f>
        <v/>
      </c>
      <c r="F470" s="22" t="str">
        <f>IF(A470="","",D470-E470)</f>
        <v/>
      </c>
      <c r="G470" s="22" t="str">
        <f>IF(A470="","",MAX(0,MIN(N('Calculator'!$B$8),C470-F470)))</f>
        <v/>
      </c>
      <c r="H470" s="23" t="str">
        <f>IF(A470="","",ROUND(C470-F470-G470,2))</f>
        <v/>
      </c>
      <c r="I470" s="20" t="str">
        <f>IF(A470="","",ROUNDUP(A470/12,0))</f>
        <v/>
      </c>
    </row>
    <row r="471" spans="1:9" x14ac:dyDescent="0.25">
      <c r="A471" s="20" t="str">
        <f>IF(H470="","",IF(H470&gt;0.005,A470+1,""))</f>
        <v/>
      </c>
      <c r="B471" s="21" t="str">
        <f>IF(A471="","",EDATE('Calculator'!$B$7,A471-1))</f>
        <v/>
      </c>
      <c r="C471" s="22" t="str">
        <f>IF(A471="","",H470)</f>
        <v/>
      </c>
      <c r="D471" s="22" t="str">
        <f>IF(A471="","",MIN('Calculator'!$B$10,C471+E471))</f>
        <v/>
      </c>
      <c r="E471" s="22" t="str">
        <f>IF(A471="","",ROUND(C471*'Calculator'!$B$5/12,2))</f>
        <v/>
      </c>
      <c r="F471" s="22" t="str">
        <f>IF(A471="","",D471-E471)</f>
        <v/>
      </c>
      <c r="G471" s="22" t="str">
        <f>IF(A471="","",MAX(0,MIN(N('Calculator'!$B$8),C471-F471)))</f>
        <v/>
      </c>
      <c r="H471" s="23" t="str">
        <f>IF(A471="","",ROUND(C471-F471-G471,2))</f>
        <v/>
      </c>
      <c r="I471" s="20" t="str">
        <f>IF(A471="","",ROUNDUP(A471/12,0))</f>
        <v/>
      </c>
    </row>
    <row r="472" spans="1:9" x14ac:dyDescent="0.25">
      <c r="A472" s="20" t="str">
        <f>IF(H471="","",IF(H471&gt;0.005,A471+1,""))</f>
        <v/>
      </c>
      <c r="B472" s="21" t="str">
        <f>IF(A472="","",EDATE('Calculator'!$B$7,A472-1))</f>
        <v/>
      </c>
      <c r="C472" s="22" t="str">
        <f>IF(A472="","",H471)</f>
        <v/>
      </c>
      <c r="D472" s="22" t="str">
        <f>IF(A472="","",MIN('Calculator'!$B$10,C472+E472))</f>
        <v/>
      </c>
      <c r="E472" s="22" t="str">
        <f>IF(A472="","",ROUND(C472*'Calculator'!$B$5/12,2))</f>
        <v/>
      </c>
      <c r="F472" s="22" t="str">
        <f>IF(A472="","",D472-E472)</f>
        <v/>
      </c>
      <c r="G472" s="22" t="str">
        <f>IF(A472="","",MAX(0,MIN(N('Calculator'!$B$8),C472-F472)))</f>
        <v/>
      </c>
      <c r="H472" s="23" t="str">
        <f>IF(A472="","",ROUND(C472-F472-G472,2))</f>
        <v/>
      </c>
      <c r="I472" s="20" t="str">
        <f>IF(A472="","",ROUNDUP(A472/12,0))</f>
        <v/>
      </c>
    </row>
    <row r="473" spans="1:9" x14ac:dyDescent="0.25">
      <c r="A473" s="20" t="str">
        <f>IF(H472="","",IF(H472&gt;0.005,A472+1,""))</f>
        <v/>
      </c>
      <c r="B473" s="21" t="str">
        <f>IF(A473="","",EDATE('Calculator'!$B$7,A473-1))</f>
        <v/>
      </c>
      <c r="C473" s="22" t="str">
        <f>IF(A473="","",H472)</f>
        <v/>
      </c>
      <c r="D473" s="22" t="str">
        <f>IF(A473="","",MIN('Calculator'!$B$10,C473+E473))</f>
        <v/>
      </c>
      <c r="E473" s="22" t="str">
        <f>IF(A473="","",ROUND(C473*'Calculator'!$B$5/12,2))</f>
        <v/>
      </c>
      <c r="F473" s="22" t="str">
        <f>IF(A473="","",D473-E473)</f>
        <v/>
      </c>
      <c r="G473" s="22" t="str">
        <f>IF(A473="","",MAX(0,MIN(N('Calculator'!$B$8),C473-F473)))</f>
        <v/>
      </c>
      <c r="H473" s="23" t="str">
        <f>IF(A473="","",ROUND(C473-F473-G473,2))</f>
        <v/>
      </c>
      <c r="I473" s="20" t="str">
        <f>IF(A473="","",ROUNDUP(A473/12,0))</f>
        <v/>
      </c>
    </row>
    <row r="474" spans="1:9" x14ac:dyDescent="0.25">
      <c r="A474" s="20" t="str">
        <f>IF(H473="","",IF(H473&gt;0.005,A473+1,""))</f>
        <v/>
      </c>
      <c r="B474" s="21" t="str">
        <f>IF(A474="","",EDATE('Calculator'!$B$7,A474-1))</f>
        <v/>
      </c>
      <c r="C474" s="22" t="str">
        <f>IF(A474="","",H473)</f>
        <v/>
      </c>
      <c r="D474" s="22" t="str">
        <f>IF(A474="","",MIN('Calculator'!$B$10,C474+E474))</f>
        <v/>
      </c>
      <c r="E474" s="22" t="str">
        <f>IF(A474="","",ROUND(C474*'Calculator'!$B$5/12,2))</f>
        <v/>
      </c>
      <c r="F474" s="22" t="str">
        <f>IF(A474="","",D474-E474)</f>
        <v/>
      </c>
      <c r="G474" s="22" t="str">
        <f>IF(A474="","",MAX(0,MIN(N('Calculator'!$B$8),C474-F474)))</f>
        <v/>
      </c>
      <c r="H474" s="23" t="str">
        <f>IF(A474="","",ROUND(C474-F474-G474,2))</f>
        <v/>
      </c>
      <c r="I474" s="20" t="str">
        <f>IF(A474="","",ROUNDUP(A474/12,0))</f>
        <v/>
      </c>
    </row>
    <row r="475" spans="1:9" x14ac:dyDescent="0.25">
      <c r="A475" s="20" t="str">
        <f>IF(H474="","",IF(H474&gt;0.005,A474+1,""))</f>
        <v/>
      </c>
      <c r="B475" s="21" t="str">
        <f>IF(A475="","",EDATE('Calculator'!$B$7,A475-1))</f>
        <v/>
      </c>
      <c r="C475" s="22" t="str">
        <f>IF(A475="","",H474)</f>
        <v/>
      </c>
      <c r="D475" s="22" t="str">
        <f>IF(A475="","",MIN('Calculator'!$B$10,C475+E475))</f>
        <v/>
      </c>
      <c r="E475" s="22" t="str">
        <f>IF(A475="","",ROUND(C475*'Calculator'!$B$5/12,2))</f>
        <v/>
      </c>
      <c r="F475" s="22" t="str">
        <f>IF(A475="","",D475-E475)</f>
        <v/>
      </c>
      <c r="G475" s="22" t="str">
        <f>IF(A475="","",MAX(0,MIN(N('Calculator'!$B$8),C475-F475)))</f>
        <v/>
      </c>
      <c r="H475" s="23" t="str">
        <f>IF(A475="","",ROUND(C475-F475-G475,2))</f>
        <v/>
      </c>
      <c r="I475" s="20" t="str">
        <f>IF(A475="","",ROUNDUP(A475/12,0))</f>
        <v/>
      </c>
    </row>
    <row r="476" spans="1:9" x14ac:dyDescent="0.25">
      <c r="A476" s="20" t="str">
        <f>IF(H475="","",IF(H475&gt;0.005,A475+1,""))</f>
        <v/>
      </c>
      <c r="B476" s="21" t="str">
        <f>IF(A476="","",EDATE('Calculator'!$B$7,A476-1))</f>
        <v/>
      </c>
      <c r="C476" s="22" t="str">
        <f>IF(A476="","",H475)</f>
        <v/>
      </c>
      <c r="D476" s="22" t="str">
        <f>IF(A476="","",MIN('Calculator'!$B$10,C476+E476))</f>
        <v/>
      </c>
      <c r="E476" s="22" t="str">
        <f>IF(A476="","",ROUND(C476*'Calculator'!$B$5/12,2))</f>
        <v/>
      </c>
      <c r="F476" s="22" t="str">
        <f>IF(A476="","",D476-E476)</f>
        <v/>
      </c>
      <c r="G476" s="22" t="str">
        <f>IF(A476="","",MAX(0,MIN(N('Calculator'!$B$8),C476-F476)))</f>
        <v/>
      </c>
      <c r="H476" s="23" t="str">
        <f>IF(A476="","",ROUND(C476-F476-G476,2))</f>
        <v/>
      </c>
      <c r="I476" s="20" t="str">
        <f>IF(A476="","",ROUNDUP(A476/12,0))</f>
        <v/>
      </c>
    </row>
    <row r="477" spans="1:9" x14ac:dyDescent="0.25">
      <c r="A477" s="20" t="str">
        <f>IF(H476="","",IF(H476&gt;0.005,A476+1,""))</f>
        <v/>
      </c>
      <c r="B477" s="21" t="str">
        <f>IF(A477="","",EDATE('Calculator'!$B$7,A477-1))</f>
        <v/>
      </c>
      <c r="C477" s="22" t="str">
        <f>IF(A477="","",H476)</f>
        <v/>
      </c>
      <c r="D477" s="22" t="str">
        <f>IF(A477="","",MIN('Calculator'!$B$10,C477+E477))</f>
        <v/>
      </c>
      <c r="E477" s="22" t="str">
        <f>IF(A477="","",ROUND(C477*'Calculator'!$B$5/12,2))</f>
        <v/>
      </c>
      <c r="F477" s="22" t="str">
        <f>IF(A477="","",D477-E477)</f>
        <v/>
      </c>
      <c r="G477" s="22" t="str">
        <f>IF(A477="","",MAX(0,MIN(N('Calculator'!$B$8),C477-F477)))</f>
        <v/>
      </c>
      <c r="H477" s="23" t="str">
        <f>IF(A477="","",ROUND(C477-F477-G477,2))</f>
        <v/>
      </c>
      <c r="I477" s="20" t="str">
        <f>IF(A477="","",ROUNDUP(A477/12,0))</f>
        <v/>
      </c>
    </row>
    <row r="478" spans="1:9" x14ac:dyDescent="0.25">
      <c r="A478" s="20" t="str">
        <f>IF(H477="","",IF(H477&gt;0.005,A477+1,""))</f>
        <v/>
      </c>
      <c r="B478" s="21" t="str">
        <f>IF(A478="","",EDATE('Calculator'!$B$7,A478-1))</f>
        <v/>
      </c>
      <c r="C478" s="22" t="str">
        <f>IF(A478="","",H477)</f>
        <v/>
      </c>
      <c r="D478" s="22" t="str">
        <f>IF(A478="","",MIN('Calculator'!$B$10,C478+E478))</f>
        <v/>
      </c>
      <c r="E478" s="22" t="str">
        <f>IF(A478="","",ROUND(C478*'Calculator'!$B$5/12,2))</f>
        <v/>
      </c>
      <c r="F478" s="22" t="str">
        <f>IF(A478="","",D478-E478)</f>
        <v/>
      </c>
      <c r="G478" s="22" t="str">
        <f>IF(A478="","",MAX(0,MIN(N('Calculator'!$B$8),C478-F478)))</f>
        <v/>
      </c>
      <c r="H478" s="23" t="str">
        <f>IF(A478="","",ROUND(C478-F478-G478,2))</f>
        <v/>
      </c>
      <c r="I478" s="20" t="str">
        <f>IF(A478="","",ROUNDUP(A478/12,0))</f>
        <v/>
      </c>
    </row>
    <row r="479" spans="1:9" x14ac:dyDescent="0.25">
      <c r="A479" s="20" t="str">
        <f>IF(H478="","",IF(H478&gt;0.005,A478+1,""))</f>
        <v/>
      </c>
      <c r="B479" s="21" t="str">
        <f>IF(A479="","",EDATE('Calculator'!$B$7,A479-1))</f>
        <v/>
      </c>
      <c r="C479" s="22" t="str">
        <f>IF(A479="","",H478)</f>
        <v/>
      </c>
      <c r="D479" s="22" t="str">
        <f>IF(A479="","",MIN('Calculator'!$B$10,C479+E479))</f>
        <v/>
      </c>
      <c r="E479" s="22" t="str">
        <f>IF(A479="","",ROUND(C479*'Calculator'!$B$5/12,2))</f>
        <v/>
      </c>
      <c r="F479" s="22" t="str">
        <f>IF(A479="","",D479-E479)</f>
        <v/>
      </c>
      <c r="G479" s="22" t="str">
        <f>IF(A479="","",MAX(0,MIN(N('Calculator'!$B$8),C479-F479)))</f>
        <v/>
      </c>
      <c r="H479" s="23" t="str">
        <f>IF(A479="","",ROUND(C479-F479-G479,2))</f>
        <v/>
      </c>
      <c r="I479" s="20" t="str">
        <f>IF(A479="","",ROUNDUP(A479/12,0))</f>
        <v/>
      </c>
    </row>
    <row r="480" spans="1:9" x14ac:dyDescent="0.25">
      <c r="A480" s="20" t="str">
        <f>IF(H479="","",IF(H479&gt;0.005,A479+1,""))</f>
        <v/>
      </c>
      <c r="B480" s="21" t="str">
        <f>IF(A480="","",EDATE('Calculator'!$B$7,A480-1))</f>
        <v/>
      </c>
      <c r="C480" s="22" t="str">
        <f>IF(A480="","",H479)</f>
        <v/>
      </c>
      <c r="D480" s="22" t="str">
        <f>IF(A480="","",MIN('Calculator'!$B$10,C480+E480))</f>
        <v/>
      </c>
      <c r="E480" s="22" t="str">
        <f>IF(A480="","",ROUND(C480*'Calculator'!$B$5/12,2))</f>
        <v/>
      </c>
      <c r="F480" s="22" t="str">
        <f>IF(A480="","",D480-E480)</f>
        <v/>
      </c>
      <c r="G480" s="22" t="str">
        <f>IF(A480="","",MAX(0,MIN(N('Calculator'!$B$8),C480-F480)))</f>
        <v/>
      </c>
      <c r="H480" s="23" t="str">
        <f>IF(A480="","",ROUND(C480-F480-G480,2))</f>
        <v/>
      </c>
      <c r="I480" s="20" t="str">
        <f>IF(A480="","",ROUNDUP(A480/12,0))</f>
        <v/>
      </c>
    </row>
    <row r="481" spans="1:9" x14ac:dyDescent="0.25">
      <c r="A481" s="20" t="str">
        <f>IF(H480="","",IF(H480&gt;0.005,A480+1,""))</f>
        <v/>
      </c>
      <c r="B481" s="21" t="str">
        <f>IF(A481="","",EDATE('Calculator'!$B$7,A481-1))</f>
        <v/>
      </c>
      <c r="C481" s="22" t="str">
        <f>IF(A481="","",H480)</f>
        <v/>
      </c>
      <c r="D481" s="22" t="str">
        <f>IF(A481="","",MIN('Calculator'!$B$10,C481+E481))</f>
        <v/>
      </c>
      <c r="E481" s="22" t="str">
        <f>IF(A481="","",ROUND(C481*'Calculator'!$B$5/12,2))</f>
        <v/>
      </c>
      <c r="F481" s="22" t="str">
        <f>IF(A481="","",D481-E481)</f>
        <v/>
      </c>
      <c r="G481" s="22" t="str">
        <f>IF(A481="","",MAX(0,MIN(N('Calculator'!$B$8),C481-F481)))</f>
        <v/>
      </c>
      <c r="H481" s="23" t="str">
        <f>IF(A481="","",ROUND(C481-F481-G481,2))</f>
        <v/>
      </c>
      <c r="I481" s="20" t="str">
        <f>IF(A481="","",ROUNDUP(A481/12,0))</f>
        <v/>
      </c>
    </row>
    <row r="482" spans="1:9" x14ac:dyDescent="0.25">
      <c r="A482" s="20" t="str">
        <f>IF(H481="","",IF(H481&gt;0.005,A481+1,""))</f>
        <v/>
      </c>
      <c r="B482" s="21" t="str">
        <f>IF(A482="","",EDATE('Calculator'!$B$7,A482-1))</f>
        <v/>
      </c>
      <c r="C482" s="22" t="str">
        <f>IF(A482="","",H481)</f>
        <v/>
      </c>
      <c r="D482" s="22" t="str">
        <f>IF(A482="","",MIN('Calculator'!$B$10,C482+E482))</f>
        <v/>
      </c>
      <c r="E482" s="22" t="str">
        <f>IF(A482="","",ROUND(C482*'Calculator'!$B$5/12,2))</f>
        <v/>
      </c>
      <c r="F482" s="22" t="str">
        <f>IF(A482="","",D482-E482)</f>
        <v/>
      </c>
      <c r="G482" s="22" t="str">
        <f>IF(A482="","",MAX(0,MIN(N('Calculator'!$B$8),C482-F482)))</f>
        <v/>
      </c>
      <c r="H482" s="23" t="str">
        <f>IF(A482="","",ROUND(C482-F482-G482,2))</f>
        <v/>
      </c>
      <c r="I482" s="20" t="str">
        <f>IF(A482="","",ROUNDUP(A482/12,0))</f>
        <v/>
      </c>
    </row>
    <row r="483" spans="1:9" x14ac:dyDescent="0.25">
      <c r="A483" s="20" t="str">
        <f>IF(H482="","",IF(H482&gt;0.005,A482+1,""))</f>
        <v/>
      </c>
      <c r="B483" s="21" t="str">
        <f>IF(A483="","",EDATE('Calculator'!$B$7,A483-1))</f>
        <v/>
      </c>
      <c r="C483" s="22" t="str">
        <f>IF(A483="","",H482)</f>
        <v/>
      </c>
      <c r="D483" s="22" t="str">
        <f>IF(A483="","",MIN('Calculator'!$B$10,C483+E483))</f>
        <v/>
      </c>
      <c r="E483" s="22" t="str">
        <f>IF(A483="","",ROUND(C483*'Calculator'!$B$5/12,2))</f>
        <v/>
      </c>
      <c r="F483" s="22" t="str">
        <f>IF(A483="","",D483-E483)</f>
        <v/>
      </c>
      <c r="G483" s="22" t="str">
        <f>IF(A483="","",MAX(0,MIN(N('Calculator'!$B$8),C483-F483)))</f>
        <v/>
      </c>
      <c r="H483" s="23" t="str">
        <f>IF(A483="","",ROUND(C483-F483-G483,2))</f>
        <v/>
      </c>
      <c r="I483" s="20" t="str">
        <f>IF(A483="","",ROUNDUP(A483/12,0))</f>
        <v/>
      </c>
    </row>
    <row r="484" spans="1:9" x14ac:dyDescent="0.25">
      <c r="A484" s="20" t="str">
        <f>IF(H483="","",IF(H483&gt;0.005,A483+1,""))</f>
        <v/>
      </c>
      <c r="B484" s="21" t="str">
        <f>IF(A484="","",EDATE('Calculator'!$B$7,A484-1))</f>
        <v/>
      </c>
      <c r="C484" s="22" t="str">
        <f>IF(A484="","",H483)</f>
        <v/>
      </c>
      <c r="D484" s="22" t="str">
        <f>IF(A484="","",MIN('Calculator'!$B$10,C484+E484))</f>
        <v/>
      </c>
      <c r="E484" s="22" t="str">
        <f>IF(A484="","",ROUND(C484*'Calculator'!$B$5/12,2))</f>
        <v/>
      </c>
      <c r="F484" s="22" t="str">
        <f>IF(A484="","",D484-E484)</f>
        <v/>
      </c>
      <c r="G484" s="22" t="str">
        <f>IF(A484="","",MAX(0,MIN(N('Calculator'!$B$8),C484-F484)))</f>
        <v/>
      </c>
      <c r="H484" s="23" t="str">
        <f>IF(A484="","",ROUND(C484-F484-G484,2))</f>
        <v/>
      </c>
      <c r="I484" s="20" t="str">
        <f>IF(A484="","",ROUNDUP(A484/12,0))</f>
        <v/>
      </c>
    </row>
  </sheetData>
  <sheetProtection sheet="1" formatColumns="0" formatRows="0" sort="0" autoFilter="0"/>
  <mergeCells count="2">
    <mergeCell ref="A1:H1"/>
    <mergeCell ref="A2:H2"/>
  </mergeCells>
  <conditionalFormatting sqref="A5:I484">
    <cfRule type="expression" dxfId="0" priority="1">
      <formula>AND($A5&lt;&gt;"",MOD($A5,12)=0)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4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8" customWidth="1"/>
    <col min="2" max="2" width="16" customWidth="1"/>
    <col min="3" max="4" width="18" customWidth="1"/>
  </cols>
  <sheetData>
    <row r="1" ht="34" customHeight="1" spans="1:4" x14ac:dyDescent="0.25">
      <c r="A1" s="9" t="s">
        <v>36</v>
      </c>
      <c r="B1" s="9"/>
      <c r="C1" s="9"/>
      <c r="D1" s="9"/>
    </row>
    <row r="2" ht="30" customHeight="1" spans="1:4" x14ac:dyDescent="0.25">
      <c r="A2" s="10" t="s">
        <v>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ht="30" customHeight="1" spans="1:4" x14ac:dyDescent="0.25">
      <c r="A4" s="19" t="s">
        <v>35</v>
      </c>
      <c r="B4" s="19" t="s">
        <v>31</v>
      </c>
      <c r="C4" s="19" t="s">
        <v>37</v>
      </c>
      <c r="D4" s="19" t="s">
        <v>34</v>
      </c>
    </row>
    <row r="5" spans="1:4" x14ac:dyDescent="0.25">
      <c r="A5" s="24">
        <f>IF(COUNTIF('Schedule'!$I$5:$I$484,1)=0,"",1)</f>
        <v>1</v>
      </c>
      <c r="B5" s="22">
        <f>IF(A5="","",SUMIFS('Schedule'!$E$5:$E$484,'Schedule'!$I$5:$I$484,1))</f>
        <v>19401.28</v>
      </c>
      <c r="C5" s="22">
        <f>IF(A5="","",SUMIFS('Schedule'!$F$5:$F$484,'Schedule'!$I$5:$I$484,1)+SUMIFS('Schedule'!$G$5:$G$484,'Schedule'!$I$5:$I$484,1))</f>
        <v>3353.24</v>
      </c>
      <c r="D5" s="22">
        <f>IF(A5="","",MAX(0,'Calculator'!$B$4-SUM(C$5:C5)))</f>
        <v>296646.76</v>
      </c>
    </row>
    <row r="6" spans="1:4" x14ac:dyDescent="0.25">
      <c r="A6" s="24">
        <f>IF(COUNTIF('Schedule'!$I$5:$I$484,2)=0,"",2)</f>
        <v>2</v>
      </c>
      <c r="B6" s="22">
        <f>IF(A6="","",SUMIFS('Schedule'!$E$5:$E$484,'Schedule'!$I$5:$I$484,2))</f>
        <v>19176.69</v>
      </c>
      <c r="C6" s="22">
        <f>IF(A6="","",SUMIFS('Schedule'!$F$5:$F$484,'Schedule'!$I$5:$I$484,2)+SUMIFS('Schedule'!$G$5:$G$484,'Schedule'!$I$5:$I$484,2))</f>
        <v>3577.83</v>
      </c>
      <c r="D6" s="22">
        <f>IF(A6="","",MAX(0,'Calculator'!$B$4-SUM(C$5:C6)))</f>
        <v>293068.93</v>
      </c>
    </row>
    <row r="7" spans="1:4" x14ac:dyDescent="0.25">
      <c r="A7" s="24">
        <f>IF(COUNTIF('Schedule'!$I$5:$I$484,3)=0,"",3)</f>
        <v>3</v>
      </c>
      <c r="B7" s="22">
        <f>IF(A7="","",SUMIFS('Schedule'!$E$5:$E$484,'Schedule'!$I$5:$I$484,3))</f>
        <v>18937.07</v>
      </c>
      <c r="C7" s="22">
        <f>IF(A7="","",SUMIFS('Schedule'!$F$5:$F$484,'Schedule'!$I$5:$I$484,3)+SUMIFS('Schedule'!$G$5:$G$484,'Schedule'!$I$5:$I$484,3))</f>
        <v>3817.45</v>
      </c>
      <c r="D7" s="22">
        <f>IF(A7="","",MAX(0,'Calculator'!$B$4-SUM(C$5:C7)))</f>
        <v>289251.48</v>
      </c>
    </row>
    <row r="8" spans="1:4" x14ac:dyDescent="0.25">
      <c r="A8" s="24">
        <f>IF(COUNTIF('Schedule'!$I$5:$I$484,4)=0,"",4)</f>
        <v>4</v>
      </c>
      <c r="B8" s="22">
        <f>IF(A8="","",SUMIFS('Schedule'!$E$5:$E$484,'Schedule'!$I$5:$I$484,4))</f>
        <v>18681.42</v>
      </c>
      <c r="C8" s="22">
        <f>IF(A8="","",SUMIFS('Schedule'!$F$5:$F$484,'Schedule'!$I$5:$I$484,4)+SUMIFS('Schedule'!$G$5:$G$484,'Schedule'!$I$5:$I$484,4))</f>
        <v>4073.1</v>
      </c>
      <c r="D8" s="22">
        <f>IF(A8="","",MAX(0,'Calculator'!$B$4-SUM(C$5:C8)))</f>
        <v>285178.38</v>
      </c>
    </row>
    <row r="9" spans="1:4" x14ac:dyDescent="0.25">
      <c r="A9" s="24">
        <f>IF(COUNTIF('Schedule'!$I$5:$I$484,5)=0,"",5)</f>
        <v>5</v>
      </c>
      <c r="B9" s="22">
        <f>IF(A9="","",SUMIFS('Schedule'!$E$5:$E$484,'Schedule'!$I$5:$I$484,5))</f>
        <v>18408.64</v>
      </c>
      <c r="C9" s="22">
        <f>IF(A9="","",SUMIFS('Schedule'!$F$5:$F$484,'Schedule'!$I$5:$I$484,5)+SUMIFS('Schedule'!$G$5:$G$484,'Schedule'!$I$5:$I$484,5))</f>
        <v>4345.88</v>
      </c>
      <c r="D9" s="22">
        <f>IF(A9="","",MAX(0,'Calculator'!$B$4-SUM(C$5:C9)))</f>
        <v>280832.5</v>
      </c>
    </row>
    <row r="10" spans="1:4" x14ac:dyDescent="0.25">
      <c r="A10" s="24">
        <f>IF(COUNTIF('Schedule'!$I$5:$I$484,6)=0,"",6)</f>
        <v>6</v>
      </c>
      <c r="B10" s="22">
        <f>IF(A10="","",SUMIFS('Schedule'!$E$5:$E$484,'Schedule'!$I$5:$I$484,6))</f>
        <v>18117.58</v>
      </c>
      <c r="C10" s="22">
        <f>IF(A10="","",SUMIFS('Schedule'!$F$5:$F$484,'Schedule'!$I$5:$I$484,6)+SUMIFS('Schedule'!$G$5:$G$484,'Schedule'!$I$5:$I$484,6))</f>
        <v>4636.94</v>
      </c>
      <c r="D10" s="22">
        <f>IF(A10="","",MAX(0,'Calculator'!$B$4-SUM(C$5:C10)))</f>
        <v>276195.56</v>
      </c>
    </row>
    <row r="11" spans="1:4" x14ac:dyDescent="0.25">
      <c r="A11" s="24">
        <f>IF(COUNTIF('Schedule'!$I$5:$I$484,7)=0,"",7)</f>
        <v>7</v>
      </c>
      <c r="B11" s="22">
        <f>IF(A11="","",SUMIFS('Schedule'!$E$5:$E$484,'Schedule'!$I$5:$I$484,7))</f>
        <v>17807.04</v>
      </c>
      <c r="C11" s="22">
        <f>IF(A11="","",SUMIFS('Schedule'!$F$5:$F$484,'Schedule'!$I$5:$I$484,7)+SUMIFS('Schedule'!$G$5:$G$484,'Schedule'!$I$5:$I$484,7))</f>
        <v>4947.48</v>
      </c>
      <c r="D11" s="22">
        <f>IF(A11="","",MAX(0,'Calculator'!$B$4-SUM(C$5:C11)))</f>
        <v>271248.08</v>
      </c>
    </row>
    <row r="12" spans="1:4" x14ac:dyDescent="0.25">
      <c r="A12" s="24">
        <f>IF(COUNTIF('Schedule'!$I$5:$I$484,8)=0,"",8)</f>
        <v>8</v>
      </c>
      <c r="B12" s="22">
        <f>IF(A12="","",SUMIFS('Schedule'!$E$5:$E$484,'Schedule'!$I$5:$I$484,8))</f>
        <v>17475.69</v>
      </c>
      <c r="C12" s="22">
        <f>IF(A12="","",SUMIFS('Schedule'!$F$5:$F$484,'Schedule'!$I$5:$I$484,8)+SUMIFS('Schedule'!$G$5:$G$484,'Schedule'!$I$5:$I$484,8))</f>
        <v>5278.83</v>
      </c>
      <c r="D12" s="22">
        <f>IF(A12="","",MAX(0,'Calculator'!$B$4-SUM(C$5:C12)))</f>
        <v>265969.25</v>
      </c>
    </row>
    <row r="13" spans="1:4" x14ac:dyDescent="0.25">
      <c r="A13" s="24">
        <f>IF(COUNTIF('Schedule'!$I$5:$I$484,9)=0,"",9)</f>
        <v>9</v>
      </c>
      <c r="B13" s="22">
        <f>IF(A13="","",SUMIFS('Schedule'!$E$5:$E$484,'Schedule'!$I$5:$I$484,9))</f>
        <v>17122.17</v>
      </c>
      <c r="C13" s="22">
        <f>IF(A13="","",SUMIFS('Schedule'!$F$5:$F$484,'Schedule'!$I$5:$I$484,9)+SUMIFS('Schedule'!$G$5:$G$484,'Schedule'!$I$5:$I$484,9))</f>
        <v>5632.35</v>
      </c>
      <c r="D13" s="22">
        <f>IF(A13="","",MAX(0,'Calculator'!$B$4-SUM(C$5:C13)))</f>
        <v>260336.9</v>
      </c>
    </row>
    <row r="14" spans="1:4" x14ac:dyDescent="0.25">
      <c r="A14" s="24">
        <f>IF(COUNTIF('Schedule'!$I$5:$I$484,10)=0,"",10)</f>
        <v>10</v>
      </c>
      <c r="B14" s="22">
        <f>IF(A14="","",SUMIFS('Schedule'!$E$5:$E$484,'Schedule'!$I$5:$I$484,10))</f>
        <v>16744.97</v>
      </c>
      <c r="C14" s="22">
        <f>IF(A14="","",SUMIFS('Schedule'!$F$5:$F$484,'Schedule'!$I$5:$I$484,10)+SUMIFS('Schedule'!$G$5:$G$484,'Schedule'!$I$5:$I$484,10))</f>
        <v>6009.55</v>
      </c>
      <c r="D14" s="22">
        <f>IF(A14="","",MAX(0,'Calculator'!$B$4-SUM(C$5:C14)))</f>
        <v>254327.35</v>
      </c>
    </row>
    <row r="15" spans="1:4" x14ac:dyDescent="0.25">
      <c r="A15" s="24">
        <f>IF(COUNTIF('Schedule'!$I$5:$I$484,11)=0,"",11)</f>
        <v>11</v>
      </c>
      <c r="B15" s="22">
        <f>IF(A15="","",SUMIFS('Schedule'!$E$5:$E$484,'Schedule'!$I$5:$I$484,11))</f>
        <v>16342.49</v>
      </c>
      <c r="C15" s="22">
        <f>IF(A15="","",SUMIFS('Schedule'!$F$5:$F$484,'Schedule'!$I$5:$I$484,11)+SUMIFS('Schedule'!$G$5:$G$484,'Schedule'!$I$5:$I$484,11))</f>
        <v>6412.03</v>
      </c>
      <c r="D15" s="22">
        <f>IF(A15="","",MAX(0,'Calculator'!$B$4-SUM(C$5:C15)))</f>
        <v>247915.32</v>
      </c>
    </row>
    <row r="16" spans="1:4" x14ac:dyDescent="0.25">
      <c r="A16" s="24">
        <f>IF(COUNTIF('Schedule'!$I$5:$I$484,12)=0,"",12)</f>
        <v>12</v>
      </c>
      <c r="B16" s="22">
        <f>IF(A16="","",SUMIFS('Schedule'!$E$5:$E$484,'Schedule'!$I$5:$I$484,12))</f>
        <v>15913.07</v>
      </c>
      <c r="C16" s="22">
        <f>IF(A16="","",SUMIFS('Schedule'!$F$5:$F$484,'Schedule'!$I$5:$I$484,12)+SUMIFS('Schedule'!$G$5:$G$484,'Schedule'!$I$5:$I$484,12))</f>
        <v>6841.45</v>
      </c>
      <c r="D16" s="22">
        <f>IF(A16="","",MAX(0,'Calculator'!$B$4-SUM(C$5:C16)))</f>
        <v>241073.87</v>
      </c>
    </row>
    <row r="17" spans="1:4" x14ac:dyDescent="0.25">
      <c r="A17" s="24">
        <f>IF(COUNTIF('Schedule'!$I$5:$I$484,13)=0,"",13)</f>
        <v>13</v>
      </c>
      <c r="B17" s="22">
        <f>IF(A17="","",SUMIFS('Schedule'!$E$5:$E$484,'Schedule'!$I$5:$I$484,13))</f>
        <v>15454.87</v>
      </c>
      <c r="C17" s="22">
        <f>IF(A17="","",SUMIFS('Schedule'!$F$5:$F$484,'Schedule'!$I$5:$I$484,13)+SUMIFS('Schedule'!$G$5:$G$484,'Schedule'!$I$5:$I$484,13))</f>
        <v>7299.65</v>
      </c>
      <c r="D17" s="22">
        <f>IF(A17="","",MAX(0,'Calculator'!$B$4-SUM(C$5:C17)))</f>
        <v>233774.22</v>
      </c>
    </row>
    <row r="18" spans="1:4" x14ac:dyDescent="0.25">
      <c r="A18" s="24">
        <f>IF(COUNTIF('Schedule'!$I$5:$I$484,14)=0,"",14)</f>
        <v>14</v>
      </c>
      <c r="B18" s="22">
        <f>IF(A18="","",SUMIFS('Schedule'!$E$5:$E$484,'Schedule'!$I$5:$I$484,14))</f>
        <v>14966</v>
      </c>
      <c r="C18" s="22">
        <f>IF(A18="","",SUMIFS('Schedule'!$F$5:$F$484,'Schedule'!$I$5:$I$484,14)+SUMIFS('Schedule'!$G$5:$G$484,'Schedule'!$I$5:$I$484,14))</f>
        <v>7788.52</v>
      </c>
      <c r="D18" s="22">
        <f>IF(A18="","",MAX(0,'Calculator'!$B$4-SUM(C$5:C18)))</f>
        <v>225985.7</v>
      </c>
    </row>
    <row r="19" spans="1:4" x14ac:dyDescent="0.25">
      <c r="A19" s="24">
        <f>IF(COUNTIF('Schedule'!$I$5:$I$484,15)=0,"",15)</f>
        <v>15</v>
      </c>
      <c r="B19" s="22">
        <f>IF(A19="","",SUMIFS('Schedule'!$E$5:$E$484,'Schedule'!$I$5:$I$484,15))</f>
        <v>14444.41</v>
      </c>
      <c r="C19" s="22">
        <f>IF(A19="","",SUMIFS('Schedule'!$F$5:$F$484,'Schedule'!$I$5:$I$484,15)+SUMIFS('Schedule'!$G$5:$G$484,'Schedule'!$I$5:$I$484,15))</f>
        <v>8310.11</v>
      </c>
      <c r="D19" s="22">
        <f>IF(A19="","",MAX(0,'Calculator'!$B$4-SUM(C$5:C19)))</f>
        <v>217675.59</v>
      </c>
    </row>
    <row r="20" spans="1:4" x14ac:dyDescent="0.25">
      <c r="A20" s="24">
        <f>IF(COUNTIF('Schedule'!$I$5:$I$484,16)=0,"",16)</f>
        <v>16</v>
      </c>
      <c r="B20" s="22">
        <f>IF(A20="","",SUMIFS('Schedule'!$E$5:$E$484,'Schedule'!$I$5:$I$484,16))</f>
        <v>13887.85</v>
      </c>
      <c r="C20" s="22">
        <f>IF(A20="","",SUMIFS('Schedule'!$F$5:$F$484,'Schedule'!$I$5:$I$484,16)+SUMIFS('Schedule'!$G$5:$G$484,'Schedule'!$I$5:$I$484,16))</f>
        <v>8866.67</v>
      </c>
      <c r="D20" s="22">
        <f>IF(A20="","",MAX(0,'Calculator'!$B$4-SUM(C$5:C20)))</f>
        <v>208808.92</v>
      </c>
    </row>
    <row r="21" spans="1:4" x14ac:dyDescent="0.25">
      <c r="A21" s="24">
        <f>IF(COUNTIF('Schedule'!$I$5:$I$484,17)=0,"",17)</f>
        <v>17</v>
      </c>
      <c r="B21" s="22">
        <f>IF(A21="","",SUMIFS('Schedule'!$E$5:$E$484,'Schedule'!$I$5:$I$484,17))</f>
        <v>13294.04</v>
      </c>
      <c r="C21" s="22">
        <f>IF(A21="","",SUMIFS('Schedule'!$F$5:$F$484,'Schedule'!$I$5:$I$484,17)+SUMIFS('Schedule'!$G$5:$G$484,'Schedule'!$I$5:$I$484,17))</f>
        <v>9460.48</v>
      </c>
      <c r="D21" s="22">
        <f>IF(A21="","",MAX(0,'Calculator'!$B$4-SUM(C$5:C21)))</f>
        <v>199348.44</v>
      </c>
    </row>
    <row r="22" spans="1:4" x14ac:dyDescent="0.25">
      <c r="A22" s="24">
        <f>IF(COUNTIF('Schedule'!$I$5:$I$484,18)=0,"",18)</f>
        <v>18</v>
      </c>
      <c r="B22" s="22">
        <f>IF(A22="","",SUMIFS('Schedule'!$E$5:$E$484,'Schedule'!$I$5:$I$484,18))</f>
        <v>12660.45</v>
      </c>
      <c r="C22" s="22">
        <f>IF(A22="","",SUMIFS('Schedule'!$F$5:$F$484,'Schedule'!$I$5:$I$484,18)+SUMIFS('Schedule'!$G$5:$G$484,'Schedule'!$I$5:$I$484,18))</f>
        <v>10094.07</v>
      </c>
      <c r="D22" s="22">
        <f>IF(A22="","",MAX(0,'Calculator'!$B$4-SUM(C$5:C22)))</f>
        <v>189254.37</v>
      </c>
    </row>
    <row r="23" spans="1:4" x14ac:dyDescent="0.25">
      <c r="A23" s="24">
        <f>IF(COUNTIF('Schedule'!$I$5:$I$484,19)=0,"",19)</f>
        <v>19</v>
      </c>
      <c r="B23" s="22">
        <f>IF(A23="","",SUMIFS('Schedule'!$E$5:$E$484,'Schedule'!$I$5:$I$484,19))</f>
        <v>11984.45</v>
      </c>
      <c r="C23" s="22">
        <f>IF(A23="","",SUMIFS('Schedule'!$F$5:$F$484,'Schedule'!$I$5:$I$484,19)+SUMIFS('Schedule'!$G$5:$G$484,'Schedule'!$I$5:$I$484,19))</f>
        <v>10770.07</v>
      </c>
      <c r="D23" s="22">
        <f>IF(A23="","",MAX(0,'Calculator'!$B$4-SUM(C$5:C23)))</f>
        <v>178484.3</v>
      </c>
    </row>
    <row r="24" spans="1:4" x14ac:dyDescent="0.25">
      <c r="A24" s="24">
        <f>IF(COUNTIF('Schedule'!$I$5:$I$484,20)=0,"",20)</f>
        <v>20</v>
      </c>
      <c r="B24" s="22">
        <f>IF(A24="","",SUMIFS('Schedule'!$E$5:$E$484,'Schedule'!$I$5:$I$484,20))</f>
        <v>11263.13</v>
      </c>
      <c r="C24" s="22">
        <f>IF(A24="","",SUMIFS('Schedule'!$F$5:$F$484,'Schedule'!$I$5:$I$484,20)+SUMIFS('Schedule'!$G$5:$G$484,'Schedule'!$I$5:$I$484,20))</f>
        <v>11491.39</v>
      </c>
      <c r="D24" s="22">
        <f>IF(A24="","",MAX(0,'Calculator'!$B$4-SUM(C$5:C24)))</f>
        <v>166992.91</v>
      </c>
    </row>
    <row r="25" spans="1:4" x14ac:dyDescent="0.25">
      <c r="A25" s="24">
        <f>IF(COUNTIF('Schedule'!$I$5:$I$484,21)=0,"",21)</f>
        <v>21</v>
      </c>
      <c r="B25" s="22">
        <f>IF(A25="","",SUMIFS('Schedule'!$E$5:$E$484,'Schedule'!$I$5:$I$484,21))</f>
        <v>10493.52</v>
      </c>
      <c r="C25" s="22">
        <f>IF(A25="","",SUMIFS('Schedule'!$F$5:$F$484,'Schedule'!$I$5:$I$484,21)+SUMIFS('Schedule'!$G$5:$G$484,'Schedule'!$I$5:$I$484,21))</f>
        <v>12261</v>
      </c>
      <c r="D25" s="22">
        <f>IF(A25="","",MAX(0,'Calculator'!$B$4-SUM(C$5:C25)))</f>
        <v>154731.91</v>
      </c>
    </row>
    <row r="26" spans="1:4" x14ac:dyDescent="0.25">
      <c r="A26" s="24">
        <f>IF(COUNTIF('Schedule'!$I$5:$I$484,22)=0,"",22)</f>
        <v>22</v>
      </c>
      <c r="B26" s="22">
        <f>IF(A26="","",SUMIFS('Schedule'!$E$5:$E$484,'Schedule'!$I$5:$I$484,22))</f>
        <v>9672.38</v>
      </c>
      <c r="C26" s="22">
        <f>IF(A26="","",SUMIFS('Schedule'!$F$5:$F$484,'Schedule'!$I$5:$I$484,22)+SUMIFS('Schedule'!$G$5:$G$484,'Schedule'!$I$5:$I$484,22))</f>
        <v>13082.14</v>
      </c>
      <c r="D26" s="22">
        <f>IF(A26="","",MAX(0,'Calculator'!$B$4-SUM(C$5:C26)))</f>
        <v>141649.77</v>
      </c>
    </row>
    <row r="27" spans="1:4" x14ac:dyDescent="0.25">
      <c r="A27" s="24">
        <f>IF(COUNTIF('Schedule'!$I$5:$I$484,23)=0,"",23)</f>
        <v>23</v>
      </c>
      <c r="B27" s="22">
        <f>IF(A27="","",SUMIFS('Schedule'!$E$5:$E$484,'Schedule'!$I$5:$I$484,23))</f>
        <v>8796.26</v>
      </c>
      <c r="C27" s="22">
        <f>IF(A27="","",SUMIFS('Schedule'!$F$5:$F$484,'Schedule'!$I$5:$I$484,23)+SUMIFS('Schedule'!$G$5:$G$484,'Schedule'!$I$5:$I$484,23))</f>
        <v>13958.26</v>
      </c>
      <c r="D27" s="22">
        <f>IF(A27="","",MAX(0,'Calculator'!$B$4-SUM(C$5:C27)))</f>
        <v>127691.51</v>
      </c>
    </row>
    <row r="28" spans="1:4" x14ac:dyDescent="0.25">
      <c r="A28" s="24">
        <f>IF(COUNTIF('Schedule'!$I$5:$I$484,24)=0,"",24)</f>
        <v>24</v>
      </c>
      <c r="B28" s="22">
        <f>IF(A28="","",SUMIFS('Schedule'!$E$5:$E$484,'Schedule'!$I$5:$I$484,24))</f>
        <v>7861.44</v>
      </c>
      <c r="C28" s="22">
        <f>IF(A28="","",SUMIFS('Schedule'!$F$5:$F$484,'Schedule'!$I$5:$I$484,24)+SUMIFS('Schedule'!$G$5:$G$484,'Schedule'!$I$5:$I$484,24))</f>
        <v>14893.08</v>
      </c>
      <c r="D28" s="22">
        <f>IF(A28="","",MAX(0,'Calculator'!$B$4-SUM(C$5:C28)))</f>
        <v>112798.43</v>
      </c>
    </row>
    <row r="29" spans="1:4" x14ac:dyDescent="0.25">
      <c r="A29" s="24">
        <f>IF(COUNTIF('Schedule'!$I$5:$I$484,25)=0,"",25)</f>
        <v>25</v>
      </c>
      <c r="B29" s="22">
        <f>IF(A29="","",SUMIFS('Schedule'!$E$5:$E$484,'Schedule'!$I$5:$I$484,25))</f>
        <v>6864.02</v>
      </c>
      <c r="C29" s="22">
        <f>IF(A29="","",SUMIFS('Schedule'!$F$5:$F$484,'Schedule'!$I$5:$I$484,25)+SUMIFS('Schedule'!$G$5:$G$484,'Schedule'!$I$5:$I$484,25))</f>
        <v>15890.5</v>
      </c>
      <c r="D29" s="22">
        <f>IF(A29="","",MAX(0,'Calculator'!$B$4-SUM(C$5:C29)))</f>
        <v>96907.93</v>
      </c>
    </row>
    <row r="30" spans="1:4" x14ac:dyDescent="0.25">
      <c r="A30" s="24">
        <f>IF(COUNTIF('Schedule'!$I$5:$I$484,26)=0,"",26)</f>
        <v>26</v>
      </c>
      <c r="B30" s="22">
        <f>IF(A30="","",SUMIFS('Schedule'!$E$5:$E$484,'Schedule'!$I$5:$I$484,26))</f>
        <v>5799.8</v>
      </c>
      <c r="C30" s="22">
        <f>IF(A30="","",SUMIFS('Schedule'!$F$5:$F$484,'Schedule'!$I$5:$I$484,26)+SUMIFS('Schedule'!$G$5:$G$484,'Schedule'!$I$5:$I$484,26))</f>
        <v>16954.72</v>
      </c>
      <c r="D30" s="22">
        <f>IF(A30="","",MAX(0,'Calculator'!$B$4-SUM(C$5:C30)))</f>
        <v>79953.21</v>
      </c>
    </row>
    <row r="31" spans="1:4" x14ac:dyDescent="0.25">
      <c r="A31" s="24">
        <f>IF(COUNTIF('Schedule'!$I$5:$I$484,27)=0,"",27)</f>
        <v>27</v>
      </c>
      <c r="B31" s="22">
        <f>IF(A31="","",SUMIFS('Schedule'!$E$5:$E$484,'Schedule'!$I$5:$I$484,27))</f>
        <v>4664.33</v>
      </c>
      <c r="C31" s="22">
        <f>IF(A31="","",SUMIFS('Schedule'!$F$5:$F$484,'Schedule'!$I$5:$I$484,27)+SUMIFS('Schedule'!$G$5:$G$484,'Schedule'!$I$5:$I$484,27))</f>
        <v>18090.19</v>
      </c>
      <c r="D31" s="22">
        <f>IF(A31="","",MAX(0,'Calculator'!$B$4-SUM(C$5:C31)))</f>
        <v>61863.02</v>
      </c>
    </row>
    <row r="32" spans="1:4" x14ac:dyDescent="0.25">
      <c r="A32" s="24">
        <f>IF(COUNTIF('Schedule'!$I$5:$I$484,28)=0,"",28)</f>
        <v>28</v>
      </c>
      <c r="B32" s="22">
        <f>IF(A32="","",SUMIFS('Schedule'!$E$5:$E$484,'Schedule'!$I$5:$I$484,28))</f>
        <v>3452.8</v>
      </c>
      <c r="C32" s="22">
        <f>IF(A32="","",SUMIFS('Schedule'!$F$5:$F$484,'Schedule'!$I$5:$I$484,28)+SUMIFS('Schedule'!$G$5:$G$484,'Schedule'!$I$5:$I$484,28))</f>
        <v>19301.72</v>
      </c>
      <c r="D32" s="22">
        <f>IF(A32="","",MAX(0,'Calculator'!$B$4-SUM(C$5:C32)))</f>
        <v>42561.3</v>
      </c>
    </row>
    <row r="33" spans="1:4" x14ac:dyDescent="0.25">
      <c r="A33" s="24">
        <f>IF(COUNTIF('Schedule'!$I$5:$I$484,29)=0,"",29)</f>
        <v>29</v>
      </c>
      <c r="B33" s="22">
        <f>IF(A33="","",SUMIFS('Schedule'!$E$5:$E$484,'Schedule'!$I$5:$I$484,29))</f>
        <v>2160.15</v>
      </c>
      <c r="C33" s="22">
        <f>IF(A33="","",SUMIFS('Schedule'!$F$5:$F$484,'Schedule'!$I$5:$I$484,29)+SUMIFS('Schedule'!$G$5:$G$484,'Schedule'!$I$5:$I$484,29))</f>
        <v>20594.37</v>
      </c>
      <c r="D33" s="22">
        <f>IF(A33="","",MAX(0,'Calculator'!$B$4-SUM(C$5:C33)))</f>
        <v>21966.93</v>
      </c>
    </row>
    <row r="34" spans="1:4" x14ac:dyDescent="0.25">
      <c r="A34" s="24">
        <f>IF(COUNTIF('Schedule'!$I$5:$I$484,30)=0,"",30)</f>
        <v>30</v>
      </c>
      <c r="B34" s="22">
        <f>IF(A34="","",SUMIFS('Schedule'!$E$5:$E$484,'Schedule'!$I$5:$I$484,30))</f>
        <v>780.89</v>
      </c>
      <c r="C34" s="22">
        <f>IF(A34="","",SUMIFS('Schedule'!$F$5:$F$484,'Schedule'!$I$5:$I$484,30)+SUMIFS('Schedule'!$G$5:$G$484,'Schedule'!$I$5:$I$484,30))</f>
        <v>21966.93</v>
      </c>
      <c r="D34" s="22">
        <f>IF(A34="","",MAX(0,'Calculator'!$B$4-SUM(C$5:C34)))</f>
        <v>0</v>
      </c>
    </row>
    <row r="35" spans="1:4" x14ac:dyDescent="0.25">
      <c r="A35" s="24" t="str">
        <f>IF(COUNTIF('Schedule'!$I$5:$I$484,31)=0,"",31)</f>
        <v/>
      </c>
      <c r="B35" s="22" t="str">
        <f>IF(A35="","",SUMIFS('Schedule'!$E$5:$E$484,'Schedule'!$I$5:$I$484,31))</f>
        <v/>
      </c>
      <c r="C35" s="22" t="str">
        <f>IF(A35="","",SUMIFS('Schedule'!$F$5:$F$484,'Schedule'!$I$5:$I$484,31)+SUMIFS('Schedule'!$G$5:$G$484,'Schedule'!$I$5:$I$484,31))</f>
        <v/>
      </c>
      <c r="D35" s="22" t="str">
        <f>IF(A35="","",MAX(0,'Calculator'!$B$4-SUM(C$5:C35)))</f>
        <v/>
      </c>
    </row>
    <row r="36" spans="1:4" x14ac:dyDescent="0.25">
      <c r="A36" s="24" t="str">
        <f>IF(COUNTIF('Schedule'!$I$5:$I$484,32)=0,"",32)</f>
        <v/>
      </c>
      <c r="B36" s="22" t="str">
        <f>IF(A36="","",SUMIFS('Schedule'!$E$5:$E$484,'Schedule'!$I$5:$I$484,32))</f>
        <v/>
      </c>
      <c r="C36" s="22" t="str">
        <f>IF(A36="","",SUMIFS('Schedule'!$F$5:$F$484,'Schedule'!$I$5:$I$484,32)+SUMIFS('Schedule'!$G$5:$G$484,'Schedule'!$I$5:$I$484,32))</f>
        <v/>
      </c>
      <c r="D36" s="22" t="str">
        <f>IF(A36="","",MAX(0,'Calculator'!$B$4-SUM(C$5:C36)))</f>
        <v/>
      </c>
    </row>
    <row r="37" spans="1:4" x14ac:dyDescent="0.25">
      <c r="A37" s="24" t="str">
        <f>IF(COUNTIF('Schedule'!$I$5:$I$484,33)=0,"",33)</f>
        <v/>
      </c>
      <c r="B37" s="22" t="str">
        <f>IF(A37="","",SUMIFS('Schedule'!$E$5:$E$484,'Schedule'!$I$5:$I$484,33))</f>
        <v/>
      </c>
      <c r="C37" s="22" t="str">
        <f>IF(A37="","",SUMIFS('Schedule'!$F$5:$F$484,'Schedule'!$I$5:$I$484,33)+SUMIFS('Schedule'!$G$5:$G$484,'Schedule'!$I$5:$I$484,33))</f>
        <v/>
      </c>
      <c r="D37" s="22" t="str">
        <f>IF(A37="","",MAX(0,'Calculator'!$B$4-SUM(C$5:C37)))</f>
        <v/>
      </c>
    </row>
    <row r="38" spans="1:4" x14ac:dyDescent="0.25">
      <c r="A38" s="24" t="str">
        <f>IF(COUNTIF('Schedule'!$I$5:$I$484,34)=0,"",34)</f>
        <v/>
      </c>
      <c r="B38" s="22" t="str">
        <f>IF(A38="","",SUMIFS('Schedule'!$E$5:$E$484,'Schedule'!$I$5:$I$484,34))</f>
        <v/>
      </c>
      <c r="C38" s="22" t="str">
        <f>IF(A38="","",SUMIFS('Schedule'!$F$5:$F$484,'Schedule'!$I$5:$I$484,34)+SUMIFS('Schedule'!$G$5:$G$484,'Schedule'!$I$5:$I$484,34))</f>
        <v/>
      </c>
      <c r="D38" s="22" t="str">
        <f>IF(A38="","",MAX(0,'Calculator'!$B$4-SUM(C$5:C38)))</f>
        <v/>
      </c>
    </row>
    <row r="39" spans="1:4" x14ac:dyDescent="0.25">
      <c r="A39" s="24" t="str">
        <f>IF(COUNTIF('Schedule'!$I$5:$I$484,35)=0,"",35)</f>
        <v/>
      </c>
      <c r="B39" s="22" t="str">
        <f>IF(A39="","",SUMIFS('Schedule'!$E$5:$E$484,'Schedule'!$I$5:$I$484,35))</f>
        <v/>
      </c>
      <c r="C39" s="22" t="str">
        <f>IF(A39="","",SUMIFS('Schedule'!$F$5:$F$484,'Schedule'!$I$5:$I$484,35)+SUMIFS('Schedule'!$G$5:$G$484,'Schedule'!$I$5:$I$484,35))</f>
        <v/>
      </c>
      <c r="D39" s="22" t="str">
        <f>IF(A39="","",MAX(0,'Calculator'!$B$4-SUM(C$5:C39)))</f>
        <v/>
      </c>
    </row>
    <row r="40" spans="1:4" x14ac:dyDescent="0.25">
      <c r="A40" s="24" t="str">
        <f>IF(COUNTIF('Schedule'!$I$5:$I$484,36)=0,"",36)</f>
        <v/>
      </c>
      <c r="B40" s="22" t="str">
        <f>IF(A40="","",SUMIFS('Schedule'!$E$5:$E$484,'Schedule'!$I$5:$I$484,36))</f>
        <v/>
      </c>
      <c r="C40" s="22" t="str">
        <f>IF(A40="","",SUMIFS('Schedule'!$F$5:$F$484,'Schedule'!$I$5:$I$484,36)+SUMIFS('Schedule'!$G$5:$G$484,'Schedule'!$I$5:$I$484,36))</f>
        <v/>
      </c>
      <c r="D40" s="22" t="str">
        <f>IF(A40="","",MAX(0,'Calculator'!$B$4-SUM(C$5:C40)))</f>
        <v/>
      </c>
    </row>
    <row r="41" spans="1:4" x14ac:dyDescent="0.25">
      <c r="A41" s="24" t="str">
        <f>IF(COUNTIF('Schedule'!$I$5:$I$484,37)=0,"",37)</f>
        <v/>
      </c>
      <c r="B41" s="22" t="str">
        <f>IF(A41="","",SUMIFS('Schedule'!$E$5:$E$484,'Schedule'!$I$5:$I$484,37))</f>
        <v/>
      </c>
      <c r="C41" s="22" t="str">
        <f>IF(A41="","",SUMIFS('Schedule'!$F$5:$F$484,'Schedule'!$I$5:$I$484,37)+SUMIFS('Schedule'!$G$5:$G$484,'Schedule'!$I$5:$I$484,37))</f>
        <v/>
      </c>
      <c r="D41" s="22" t="str">
        <f>IF(A41="","",MAX(0,'Calculator'!$B$4-SUM(C$5:C41)))</f>
        <v/>
      </c>
    </row>
    <row r="42" spans="1:4" x14ac:dyDescent="0.25">
      <c r="A42" s="24" t="str">
        <f>IF(COUNTIF('Schedule'!$I$5:$I$484,38)=0,"",38)</f>
        <v/>
      </c>
      <c r="B42" s="22" t="str">
        <f>IF(A42="","",SUMIFS('Schedule'!$E$5:$E$484,'Schedule'!$I$5:$I$484,38))</f>
        <v/>
      </c>
      <c r="C42" s="22" t="str">
        <f>IF(A42="","",SUMIFS('Schedule'!$F$5:$F$484,'Schedule'!$I$5:$I$484,38)+SUMIFS('Schedule'!$G$5:$G$484,'Schedule'!$I$5:$I$484,38))</f>
        <v/>
      </c>
      <c r="D42" s="22" t="str">
        <f>IF(A42="","",MAX(0,'Calculator'!$B$4-SUM(C$5:C42)))</f>
        <v/>
      </c>
    </row>
    <row r="43" spans="1:4" x14ac:dyDescent="0.25">
      <c r="A43" s="24" t="str">
        <f>IF(COUNTIF('Schedule'!$I$5:$I$484,39)=0,"",39)</f>
        <v/>
      </c>
      <c r="B43" s="22" t="str">
        <f>IF(A43="","",SUMIFS('Schedule'!$E$5:$E$484,'Schedule'!$I$5:$I$484,39))</f>
        <v/>
      </c>
      <c r="C43" s="22" t="str">
        <f>IF(A43="","",SUMIFS('Schedule'!$F$5:$F$484,'Schedule'!$I$5:$I$484,39)+SUMIFS('Schedule'!$G$5:$G$484,'Schedule'!$I$5:$I$484,39))</f>
        <v/>
      </c>
      <c r="D43" s="22" t="str">
        <f>IF(A43="","",MAX(0,'Calculator'!$B$4-SUM(C$5:C43)))</f>
        <v/>
      </c>
    </row>
    <row r="44" spans="1:4" x14ac:dyDescent="0.25">
      <c r="A44" s="24" t="str">
        <f>IF(COUNTIF('Schedule'!$I$5:$I$484,40)=0,"",40)</f>
        <v/>
      </c>
      <c r="B44" s="22" t="str">
        <f>IF(A44="","",SUMIFS('Schedule'!$E$5:$E$484,'Schedule'!$I$5:$I$484,40))</f>
        <v/>
      </c>
      <c r="C44" s="22" t="str">
        <f>IF(A44="","",SUMIFS('Schedule'!$F$5:$F$484,'Schedule'!$I$5:$I$484,40)+SUMIFS('Schedule'!$G$5:$G$484,'Schedule'!$I$5:$I$484,40))</f>
        <v/>
      </c>
      <c r="D44" s="22" t="str">
        <f>IF(A44="","",MAX(0,'Calculator'!$B$4-SUM(C$5:C44)))</f>
        <v/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Calculator</vt:lpstr>
      <vt:lpstr>Schedule</vt:lpstr>
      <vt:lpstr>By year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